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C:\Users\rojdi02\Documents\Révision site fiducies\Documents finaux publiés - V2\"/>
    </mc:Choice>
  </mc:AlternateContent>
  <xr:revisionPtr revIDLastSave="4" documentId="11_F592E04E280B9309A1E09998D993883924F12155" xr6:coauthVersionLast="47" xr6:coauthVersionMax="47" xr10:uidLastSave="{55E320B3-8117-45B7-A5D3-0380C3F4AEA3}"/>
  <bookViews>
    <workbookView xWindow="-120" yWindow="-120" windowWidth="29040" windowHeight="15840" tabRatio="681" xr2:uid="{00000000-000D-0000-FFFF-FFFF00000000}"/>
  </bookViews>
  <sheets>
    <sheet name="Plan de prévision de dépenses" sheetId="1" r:id="rId1"/>
    <sheet name="Plan remplacement d'équipemen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D10" i="2"/>
  <c r="E10" i="2"/>
  <c r="F10" i="2"/>
  <c r="C10" i="2"/>
  <c r="C23" i="1"/>
  <c r="C3" i="2"/>
  <c r="D3" i="2" s="1"/>
  <c r="E3" i="2" s="1"/>
  <c r="F3" i="2" s="1"/>
  <c r="E52" i="1"/>
  <c r="C30" i="1" l="1"/>
  <c r="C40" i="1"/>
  <c r="C42" i="1" l="1"/>
  <c r="E14" i="1"/>
  <c r="E17" i="1" s="1"/>
  <c r="F13" i="1"/>
  <c r="E48" i="1" l="1"/>
  <c r="E39" i="1"/>
  <c r="E18" i="1"/>
  <c r="E19" i="1"/>
  <c r="E22" i="1"/>
  <c r="E37" i="1"/>
  <c r="E27" i="1"/>
  <c r="E26" i="1"/>
  <c r="E21" i="1"/>
  <c r="E28" i="1"/>
  <c r="E20" i="1"/>
  <c r="E38" i="1"/>
  <c r="E29" i="1"/>
  <c r="F14" i="1"/>
  <c r="F22" i="1" s="1"/>
  <c r="E34" i="1"/>
  <c r="E32" i="1"/>
  <c r="C44" i="1"/>
  <c r="C46" i="1" s="1"/>
  <c r="C50" i="1" s="1"/>
  <c r="G13" i="1"/>
  <c r="H13" i="1" s="1"/>
  <c r="I13" i="1" s="1"/>
  <c r="J13" i="1" l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G14" i="1"/>
  <c r="G22" i="1" s="1"/>
  <c r="F19" i="1"/>
  <c r="E23" i="1"/>
  <c r="E30" i="1"/>
  <c r="F32" i="1"/>
  <c r="F26" i="1"/>
  <c r="F17" i="1"/>
  <c r="F18" i="1"/>
  <c r="F20" i="1"/>
  <c r="F21" i="1"/>
  <c r="F29" i="1"/>
  <c r="F37" i="1"/>
  <c r="F39" i="1"/>
  <c r="F28" i="1"/>
  <c r="F27" i="1"/>
  <c r="F38" i="1"/>
  <c r="F34" i="1"/>
  <c r="E40" i="1"/>
  <c r="F48" i="1"/>
  <c r="E42" i="1" l="1"/>
  <c r="G18" i="1"/>
  <c r="G37" i="1"/>
  <c r="G21" i="1"/>
  <c r="G19" i="1"/>
  <c r="G32" i="1"/>
  <c r="G39" i="1"/>
  <c r="H14" i="1"/>
  <c r="H22" i="1" s="1"/>
  <c r="G27" i="1"/>
  <c r="G26" i="1"/>
  <c r="G38" i="1"/>
  <c r="G34" i="1"/>
  <c r="G20" i="1"/>
  <c r="G28" i="1"/>
  <c r="G29" i="1"/>
  <c r="G17" i="1"/>
  <c r="G48" i="1"/>
  <c r="F23" i="1"/>
  <c r="F30" i="1"/>
  <c r="F40" i="1"/>
  <c r="E44" i="1" l="1"/>
  <c r="E46" i="1" s="1"/>
  <c r="G40" i="1"/>
  <c r="H34" i="1"/>
  <c r="H28" i="1"/>
  <c r="I14" i="1"/>
  <c r="I28" i="1" s="1"/>
  <c r="H38" i="1"/>
  <c r="H29" i="1"/>
  <c r="H26" i="1"/>
  <c r="H20" i="1"/>
  <c r="H48" i="1"/>
  <c r="H32" i="1"/>
  <c r="H21" i="1"/>
  <c r="H27" i="1"/>
  <c r="H37" i="1"/>
  <c r="G23" i="1"/>
  <c r="H18" i="1"/>
  <c r="H17" i="1"/>
  <c r="H39" i="1"/>
  <c r="H19" i="1"/>
  <c r="G30" i="1"/>
  <c r="I19" i="1"/>
  <c r="F42" i="1"/>
  <c r="F44" i="1" l="1"/>
  <c r="F46" i="1" s="1"/>
  <c r="F50" i="1" s="1"/>
  <c r="E50" i="1"/>
  <c r="E53" i="1" s="1"/>
  <c r="E54" i="1" s="1"/>
  <c r="I22" i="1"/>
  <c r="J14" i="1"/>
  <c r="I29" i="1"/>
  <c r="I18" i="1"/>
  <c r="I39" i="1"/>
  <c r="I32" i="1"/>
  <c r="I17" i="1"/>
  <c r="I48" i="1"/>
  <c r="I37" i="1"/>
  <c r="I21" i="1"/>
  <c r="I26" i="1"/>
  <c r="G42" i="1"/>
  <c r="I34" i="1"/>
  <c r="I38" i="1"/>
  <c r="I20" i="1"/>
  <c r="I27" i="1"/>
  <c r="H40" i="1"/>
  <c r="H30" i="1"/>
  <c r="H23" i="1"/>
  <c r="G44" i="1" l="1"/>
  <c r="G46" i="1" s="1"/>
  <c r="E55" i="1"/>
  <c r="F52" i="1" s="1"/>
  <c r="F53" i="1" s="1"/>
  <c r="F54" i="1" s="1"/>
  <c r="F55" i="1" s="1"/>
  <c r="G52" i="1" s="1"/>
  <c r="J48" i="1"/>
  <c r="J42" i="1"/>
  <c r="K14" i="1"/>
  <c r="I23" i="1"/>
  <c r="I40" i="1"/>
  <c r="I30" i="1"/>
  <c r="H42" i="1"/>
  <c r="G50" i="1" l="1"/>
  <c r="G53" i="1" s="1"/>
  <c r="G54" i="1" s="1"/>
  <c r="G55" i="1" s="1"/>
  <c r="H52" i="1" s="1"/>
  <c r="H44" i="1"/>
  <c r="H46" i="1"/>
  <c r="H50" i="1" s="1"/>
  <c r="K48" i="1"/>
  <c r="K42" i="1"/>
  <c r="J44" i="1"/>
  <c r="J46" i="1" s="1"/>
  <c r="J50" i="1" s="1"/>
  <c r="L14" i="1"/>
  <c r="I42" i="1"/>
  <c r="H53" i="1" l="1"/>
  <c r="H54" i="1" s="1"/>
  <c r="H55" i="1" s="1"/>
  <c r="I52" i="1" s="1"/>
  <c r="I44" i="1"/>
  <c r="I46" i="1"/>
  <c r="I50" i="1" s="1"/>
  <c r="I53" i="1" s="1"/>
  <c r="I54" i="1" s="1"/>
  <c r="K44" i="1"/>
  <c r="K46" i="1" s="1"/>
  <c r="K50" i="1" s="1"/>
  <c r="L48" i="1"/>
  <c r="L42" i="1"/>
  <c r="M14" i="1"/>
  <c r="O5" i="1" l="1"/>
  <c r="L44" i="1"/>
  <c r="L46" i="1" s="1"/>
  <c r="L50" i="1" s="1"/>
  <c r="M48" i="1"/>
  <c r="M42" i="1"/>
  <c r="N14" i="1"/>
  <c r="I55" i="1"/>
  <c r="J52" i="1" s="1"/>
  <c r="O14" i="1" l="1"/>
  <c r="N48" i="1"/>
  <c r="N42" i="1"/>
  <c r="M44" i="1"/>
  <c r="M46" i="1" s="1"/>
  <c r="M50" i="1" s="1"/>
  <c r="J53" i="1"/>
  <c r="J54" i="1" s="1"/>
  <c r="J55" i="1" l="1"/>
  <c r="K52" i="1" s="1"/>
  <c r="K53" i="1" s="1"/>
  <c r="K54" i="1" s="1"/>
  <c r="N44" i="1"/>
  <c r="N46" i="1" s="1"/>
  <c r="N50" i="1" s="1"/>
  <c r="P14" i="1"/>
  <c r="O48" i="1"/>
  <c r="O42" i="1"/>
  <c r="O44" i="1" l="1"/>
  <c r="O46" i="1" s="1"/>
  <c r="O50" i="1" s="1"/>
  <c r="Q14" i="1"/>
  <c r="P48" i="1"/>
  <c r="P42" i="1"/>
  <c r="K55" i="1"/>
  <c r="L52" i="1" s="1"/>
  <c r="P44" i="1" l="1"/>
  <c r="P46" i="1" s="1"/>
  <c r="P50" i="1" s="1"/>
  <c r="R14" i="1"/>
  <c r="Q48" i="1"/>
  <c r="Q42" i="1"/>
  <c r="L53" i="1"/>
  <c r="L54" i="1" s="1"/>
  <c r="Q44" i="1" l="1"/>
  <c r="Q46" i="1" s="1"/>
  <c r="Q50" i="1" s="1"/>
  <c r="L55" i="1"/>
  <c r="M52" i="1" s="1"/>
  <c r="S14" i="1"/>
  <c r="R48" i="1"/>
  <c r="R42" i="1"/>
  <c r="M53" i="1" l="1"/>
  <c r="M54" i="1" s="1"/>
  <c r="T14" i="1"/>
  <c r="S48" i="1"/>
  <c r="S42" i="1"/>
  <c r="R44" i="1"/>
  <c r="R46" i="1" s="1"/>
  <c r="R50" i="1" s="1"/>
  <c r="M55" i="1" l="1"/>
  <c r="N52" i="1" s="1"/>
  <c r="N53" i="1" s="1"/>
  <c r="N54" i="1" s="1"/>
  <c r="S44" i="1"/>
  <c r="S46" i="1" s="1"/>
  <c r="S50" i="1" s="1"/>
  <c r="U14" i="1"/>
  <c r="T48" i="1"/>
  <c r="T42" i="1"/>
  <c r="N55" i="1" l="1"/>
  <c r="O52" i="1" s="1"/>
  <c r="O53" i="1" s="1"/>
  <c r="O54" i="1" s="1"/>
  <c r="V14" i="1"/>
  <c r="U48" i="1"/>
  <c r="U42" i="1"/>
  <c r="T44" i="1"/>
  <c r="T46" i="1" s="1"/>
  <c r="T50" i="1" s="1"/>
  <c r="O55" i="1" l="1"/>
  <c r="P52" i="1" s="1"/>
  <c r="P53" i="1" s="1"/>
  <c r="P54" i="1" s="1"/>
  <c r="U44" i="1"/>
  <c r="U46" i="1" s="1"/>
  <c r="U50" i="1" s="1"/>
  <c r="W14" i="1"/>
  <c r="V48" i="1"/>
  <c r="V42" i="1"/>
  <c r="X14" i="1" l="1"/>
  <c r="W48" i="1"/>
  <c r="W42" i="1"/>
  <c r="V44" i="1"/>
  <c r="V46" i="1" s="1"/>
  <c r="V50" i="1" s="1"/>
  <c r="P55" i="1"/>
  <c r="Q52" i="1" s="1"/>
  <c r="W44" i="1" l="1"/>
  <c r="W46" i="1" s="1"/>
  <c r="W50" i="1" s="1"/>
  <c r="Y14" i="1"/>
  <c r="X48" i="1"/>
  <c r="X42" i="1"/>
  <c r="Q53" i="1"/>
  <c r="Q54" i="1" s="1"/>
  <c r="Z14" i="1" l="1"/>
  <c r="Y48" i="1"/>
  <c r="Y42" i="1"/>
  <c r="X44" i="1"/>
  <c r="X46" i="1" s="1"/>
  <c r="X50" i="1" s="1"/>
  <c r="Q55" i="1"/>
  <c r="R52" i="1" s="1"/>
  <c r="R53" i="1" s="1"/>
  <c r="R54" i="1" s="1"/>
  <c r="R55" i="1" s="1"/>
  <c r="S52" i="1" s="1"/>
  <c r="Y44" i="1" l="1"/>
  <c r="Y46" i="1" s="1"/>
  <c r="Y50" i="1" s="1"/>
  <c r="AA14" i="1"/>
  <c r="Z48" i="1"/>
  <c r="Z42" i="1"/>
  <c r="S53" i="1"/>
  <c r="S54" i="1" s="1"/>
  <c r="AB14" i="1" l="1"/>
  <c r="AA48" i="1"/>
  <c r="AA42" i="1"/>
  <c r="Z44" i="1"/>
  <c r="Z46" i="1" s="1"/>
  <c r="Z50" i="1" s="1"/>
  <c r="S55" i="1"/>
  <c r="T52" i="1" s="1"/>
  <c r="AA44" i="1" l="1"/>
  <c r="AA46" i="1" s="1"/>
  <c r="AA50" i="1" s="1"/>
  <c r="AC14" i="1"/>
  <c r="AB48" i="1"/>
  <c r="AB42" i="1"/>
  <c r="T53" i="1"/>
  <c r="T54" i="1" s="1"/>
  <c r="AD14" i="1" l="1"/>
  <c r="AC48" i="1"/>
  <c r="AC42" i="1"/>
  <c r="AB44" i="1"/>
  <c r="AB46" i="1" s="1"/>
  <c r="AB50" i="1" s="1"/>
  <c r="T55" i="1"/>
  <c r="U52" i="1" s="1"/>
  <c r="AC44" i="1" l="1"/>
  <c r="AC46" i="1" s="1"/>
  <c r="AC50" i="1" s="1"/>
  <c r="AE14" i="1"/>
  <c r="AD48" i="1"/>
  <c r="AD42" i="1"/>
  <c r="U53" i="1"/>
  <c r="U54" i="1" s="1"/>
  <c r="AF14" i="1" l="1"/>
  <c r="AE48" i="1"/>
  <c r="AE42" i="1"/>
  <c r="AD44" i="1"/>
  <c r="AD46" i="1" s="1"/>
  <c r="AD50" i="1" s="1"/>
  <c r="U55" i="1"/>
  <c r="V52" i="1" s="1"/>
  <c r="AE44" i="1" l="1"/>
  <c r="AE46" i="1"/>
  <c r="AE50" i="1" s="1"/>
  <c r="AG14" i="1"/>
  <c r="AF48" i="1"/>
  <c r="AF42" i="1"/>
  <c r="V53" i="1"/>
  <c r="V54" i="1" s="1"/>
  <c r="AF44" i="1" l="1"/>
  <c r="AF46" i="1" s="1"/>
  <c r="AF50" i="1" s="1"/>
  <c r="V55" i="1"/>
  <c r="W52" i="1" s="1"/>
  <c r="AH14" i="1"/>
  <c r="AG48" i="1"/>
  <c r="AG42" i="1"/>
  <c r="W53" i="1" l="1"/>
  <c r="W54" i="1" s="1"/>
  <c r="AH48" i="1"/>
  <c r="AH42" i="1"/>
  <c r="AG44" i="1"/>
  <c r="AG46" i="1" s="1"/>
  <c r="AG50" i="1" s="1"/>
  <c r="W55" i="1" l="1"/>
  <c r="X52" i="1" s="1"/>
  <c r="X53" i="1" s="1"/>
  <c r="X54" i="1" s="1"/>
  <c r="AH44" i="1"/>
  <c r="AH46" i="1" s="1"/>
  <c r="AH50" i="1" s="1"/>
  <c r="X55" i="1" l="1"/>
  <c r="Y52" i="1" s="1"/>
  <c r="Y53" i="1" s="1"/>
  <c r="Y54" i="1" s="1"/>
  <c r="Y55" i="1" l="1"/>
  <c r="Z52" i="1" s="1"/>
  <c r="Z53" i="1" l="1"/>
  <c r="Z54" i="1" s="1"/>
  <c r="Z55" i="1" l="1"/>
  <c r="AA52" i="1" s="1"/>
  <c r="AA53" i="1" l="1"/>
  <c r="AA54" i="1" s="1"/>
  <c r="AA55" i="1" l="1"/>
  <c r="AB52" i="1" s="1"/>
  <c r="AB53" i="1" l="1"/>
  <c r="AB54" i="1" s="1"/>
  <c r="AB55" i="1" l="1"/>
  <c r="AC52" i="1" s="1"/>
  <c r="AC53" i="1"/>
  <c r="AC54" i="1" s="1"/>
  <c r="AC55" i="1" l="1"/>
  <c r="AD52" i="1" s="1"/>
  <c r="AD53" i="1" l="1"/>
  <c r="AD54" i="1" s="1"/>
  <c r="AD55" i="1" l="1"/>
  <c r="AE52" i="1" s="1"/>
  <c r="AE53" i="1" l="1"/>
  <c r="AE54" i="1" s="1"/>
  <c r="AE55" i="1" l="1"/>
  <c r="AF52" i="1" s="1"/>
  <c r="AF53" i="1" s="1"/>
  <c r="AF54" i="1" s="1"/>
  <c r="AF55" i="1" l="1"/>
  <c r="AG52" i="1" s="1"/>
  <c r="AG53" i="1" l="1"/>
  <c r="AG54" i="1" s="1"/>
  <c r="AG55" i="1" s="1"/>
  <c r="AH52" i="1" s="1"/>
  <c r="AH53" i="1" l="1"/>
  <c r="AH54" i="1" s="1"/>
  <c r="AH55" i="1" l="1"/>
  <c r="I7" i="1" s="1"/>
</calcChain>
</file>

<file path=xl/sharedStrings.xml><?xml version="1.0" encoding="utf-8"?>
<sst xmlns="http://schemas.openxmlformats.org/spreadsheetml/2006/main" count="53" uniqueCount="48">
  <si>
    <t>Plan de prévision de dépenses postfermetures pour le Lieu de XXXX</t>
  </si>
  <si>
    <t>Enveloppe de dépenses quinquennales autorisées (excluant frais fiduciaires)</t>
  </si>
  <si>
    <t>Début de la période</t>
  </si>
  <si>
    <t>Solde à la fin de la période postfermeture</t>
  </si>
  <si>
    <t>Taux d'inflation</t>
  </si>
  <si>
    <t>Solde en fiducie</t>
  </si>
  <si>
    <t>Taux de rendement</t>
  </si>
  <si>
    <t>Dernière évaluation des CGPF</t>
  </si>
  <si>
    <t>Année depuis le début de la période postfermeture</t>
  </si>
  <si>
    <t>Année</t>
  </si>
  <si>
    <t>Inspection et entretien du lieu</t>
  </si>
  <si>
    <t>Inspection générale du lieu</t>
  </si>
  <si>
    <t>Entretien du lieu</t>
  </si>
  <si>
    <t>Systèmes de captage et de traitement du lixiviat</t>
  </si>
  <si>
    <t>Système de captage et de destruction du biogaz</t>
  </si>
  <si>
    <t>Infrastructures auxiliaires</t>
  </si>
  <si>
    <t>Remplacement d'équipement (voir onglet)</t>
  </si>
  <si>
    <t>Total</t>
  </si>
  <si>
    <t>Programme de suivi environnemental</t>
  </si>
  <si>
    <t>Suivi des eaux</t>
  </si>
  <si>
    <t>Suivi des biogaz</t>
  </si>
  <si>
    <t>Étanchéité des conduites de transport du lixiviat brut</t>
  </si>
  <si>
    <t xml:space="preserve">Étanchéité des bassins de traitement du lixiviat </t>
  </si>
  <si>
    <t>Captage et traitement du lixiviat</t>
  </si>
  <si>
    <t>Captage et destruction des biogaz</t>
  </si>
  <si>
    <t>Administration et frais divers</t>
  </si>
  <si>
    <t>Planification des activités/demande d'accès fonds</t>
  </si>
  <si>
    <t>Compilation données/suivi efficac./rapport annuel</t>
  </si>
  <si>
    <t>Fonctionnement du comité de vigilance</t>
  </si>
  <si>
    <t>Montant total partiel</t>
  </si>
  <si>
    <t>Imprévus (10% du total partiel)</t>
  </si>
  <si>
    <t>Dépenses annuelles excluant les frais fiduciaires</t>
  </si>
  <si>
    <t>Frais fiduciaires</t>
  </si>
  <si>
    <t>Total des déboursés</t>
  </si>
  <si>
    <t>Solde en fiducie au début de l'année</t>
  </si>
  <si>
    <t>Revenus d'intérêt</t>
  </si>
  <si>
    <t>Impôt</t>
  </si>
  <si>
    <t>Solde en fiducie en fin d'année</t>
  </si>
  <si>
    <t>Plan de remplacement des équipements</t>
  </si>
  <si>
    <t>Équipement à changer #1</t>
  </si>
  <si>
    <t>Puits d'observation</t>
  </si>
  <si>
    <t>Pompes doseuses</t>
  </si>
  <si>
    <t>Puits de captage</t>
  </si>
  <si>
    <t>Aérateurs</t>
  </si>
  <si>
    <t>Prix</t>
  </si>
  <si>
    <t>Équipement à changer #2</t>
  </si>
  <si>
    <t>Équipement à changer #3</t>
  </si>
  <si>
    <t>Total en dollar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</si>
</sst>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* #,##0_)\ &quot;$&quot;_ ;_ * \(#,##0\)\ &quot;$&quot;_ ;_ * &quot;-&quot;_)\ &quot;$&quot;_ ;_ @_ "/>
    <numFmt numFmtId="164" formatCode="0.0%"/>
    <numFmt numFmtId="165" formatCode="_ * #,##0_)\ &quot;$&quot;_ ;_ * \(#,##0\)\ &quot;$&quot;_ ;_ * &quot;-&quot;??_)\ &quot;$&quot;_ ;_ @_ "/>
  </numFmts>
  <fonts count="8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2" fontId="0" fillId="0" borderId="0" xfId="0" applyNumberFormat="1"/>
    <xf numFmtId="0" fontId="4" fillId="0" borderId="0" xfId="0" applyFont="1"/>
    <xf numFmtId="42" fontId="4" fillId="0" borderId="0" xfId="0" applyNumberFormat="1" applyFont="1"/>
    <xf numFmtId="0" fontId="4" fillId="0" borderId="23" xfId="0" applyFont="1" applyBorder="1"/>
    <xf numFmtId="42" fontId="0" fillId="0" borderId="23" xfId="0" applyNumberForma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42" fontId="2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1" fillId="0" borderId="10" xfId="0" applyFont="1" applyBorder="1" applyAlignment="1">
      <alignment horizontal="center" wrapText="1"/>
    </xf>
    <xf numFmtId="164" fontId="2" fillId="0" borderId="3" xfId="0" applyNumberFormat="1" applyFont="1" applyBorder="1"/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2" fontId="2" fillId="0" borderId="3" xfId="0" applyNumberFormat="1" applyFont="1" applyBorder="1"/>
    <xf numFmtId="0" fontId="2" fillId="0" borderId="2" xfId="0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center"/>
    </xf>
    <xf numFmtId="42" fontId="2" fillId="0" borderId="10" xfId="0" applyNumberFormat="1" applyFont="1" applyBorder="1"/>
    <xf numFmtId="0" fontId="1" fillId="0" borderId="8" xfId="0" applyFont="1" applyBorder="1" applyAlignment="1">
      <alignment horizontal="center" wrapText="1"/>
    </xf>
    <xf numFmtId="165" fontId="1" fillId="0" borderId="14" xfId="0" applyNumberFormat="1" applyFont="1" applyBorder="1"/>
    <xf numFmtId="42" fontId="2" fillId="0" borderId="2" xfId="0" applyNumberFormat="1" applyFont="1" applyBorder="1"/>
    <xf numFmtId="0" fontId="2" fillId="0" borderId="4" xfId="0" applyFont="1" applyBorder="1" applyAlignment="1">
      <alignment horizontal="right" wrapText="1"/>
    </xf>
    <xf numFmtId="165" fontId="1" fillId="0" borderId="1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165" fontId="1" fillId="0" borderId="12" xfId="0" applyNumberFormat="1" applyFont="1" applyBorder="1"/>
    <xf numFmtId="0" fontId="1" fillId="0" borderId="10" xfId="0" applyFont="1" applyBorder="1" applyAlignment="1">
      <alignment horizontal="right" wrapText="1"/>
    </xf>
    <xf numFmtId="165" fontId="1" fillId="0" borderId="9" xfId="0" applyNumberFormat="1" applyFont="1" applyBorder="1"/>
    <xf numFmtId="0" fontId="1" fillId="0" borderId="2" xfId="0" applyFont="1" applyBorder="1" applyAlignment="1">
      <alignment horizontal="right" wrapText="1"/>
    </xf>
    <xf numFmtId="165" fontId="2" fillId="0" borderId="8" xfId="0" applyNumberFormat="1" applyFont="1" applyBorder="1"/>
    <xf numFmtId="42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/>
    </xf>
    <xf numFmtId="165" fontId="2" fillId="0" borderId="2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8" xfId="0" applyNumberFormat="1" applyFont="1" applyBorder="1" applyAlignment="1">
      <alignment horizontal="center"/>
    </xf>
    <xf numFmtId="165" fontId="1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19" xfId="0" applyFont="1" applyBorder="1" applyAlignment="1">
      <alignment horizontal="right" wrapText="1"/>
    </xf>
    <xf numFmtId="42" fontId="2" fillId="0" borderId="20" xfId="0" applyNumberFormat="1" applyFont="1" applyBorder="1"/>
    <xf numFmtId="0" fontId="1" fillId="0" borderId="22" xfId="0" applyFont="1" applyBorder="1" applyAlignment="1">
      <alignment horizontal="right" wrapText="1"/>
    </xf>
    <xf numFmtId="165" fontId="1" fillId="0" borderId="8" xfId="0" applyNumberFormat="1" applyFont="1" applyBorder="1"/>
    <xf numFmtId="165" fontId="1" fillId="0" borderId="4" xfId="0" applyNumberFormat="1" applyFont="1" applyBorder="1"/>
    <xf numFmtId="0" fontId="1" fillId="0" borderId="4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42" fontId="2" fillId="0" borderId="1" xfId="0" applyNumberFormat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5" fontId="2" fillId="2" borderId="10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center"/>
    </xf>
    <xf numFmtId="165" fontId="2" fillId="0" borderId="35" xfId="0" applyNumberFormat="1" applyFont="1" applyBorder="1" applyAlignment="1">
      <alignment horizontal="center"/>
    </xf>
    <xf numFmtId="165" fontId="1" fillId="3" borderId="36" xfId="0" applyNumberFormat="1" applyFont="1" applyFill="1" applyBorder="1" applyAlignment="1">
      <alignment horizontal="center"/>
    </xf>
    <xf numFmtId="165" fontId="1" fillId="3" borderId="37" xfId="0" applyNumberFormat="1" applyFont="1" applyFill="1" applyBorder="1" applyAlignment="1">
      <alignment horizontal="center"/>
    </xf>
    <xf numFmtId="165" fontId="1" fillId="3" borderId="38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/>
    <xf numFmtId="165" fontId="2" fillId="0" borderId="2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7" fillId="0" borderId="10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42" fontId="6" fillId="0" borderId="26" xfId="0" applyNumberFormat="1" applyFont="1" applyBorder="1" applyAlignment="1">
      <alignment horizontal="center" wrapText="1"/>
    </xf>
    <xf numFmtId="42" fontId="6" fillId="0" borderId="25" xfId="0" applyNumberFormat="1" applyFont="1" applyBorder="1" applyAlignment="1">
      <alignment horizontal="center" wrapText="1"/>
    </xf>
    <xf numFmtId="42" fontId="6" fillId="0" borderId="27" xfId="0" applyNumberFormat="1" applyFont="1" applyBorder="1" applyAlignment="1">
      <alignment horizontal="center" wrapText="1"/>
    </xf>
    <xf numFmtId="42" fontId="6" fillId="0" borderId="34" xfId="0" applyNumberFormat="1" applyFont="1" applyBorder="1" applyAlignment="1">
      <alignment horizontal="center" wrapText="1"/>
    </xf>
    <xf numFmtId="42" fontId="6" fillId="0" borderId="0" xfId="0" applyNumberFormat="1" applyFont="1" applyAlignment="1">
      <alignment horizontal="center" wrapText="1"/>
    </xf>
    <xf numFmtId="42" fontId="6" fillId="0" borderId="31" xfId="0" applyNumberFormat="1" applyFont="1" applyBorder="1" applyAlignment="1">
      <alignment horizontal="center" wrapText="1"/>
    </xf>
    <xf numFmtId="42" fontId="6" fillId="0" borderId="28" xfId="0" applyNumberFormat="1" applyFont="1" applyBorder="1" applyAlignment="1">
      <alignment horizontal="center" wrapText="1"/>
    </xf>
    <xf numFmtId="42" fontId="6" fillId="0" borderId="29" xfId="0" applyNumberFormat="1" applyFont="1" applyBorder="1" applyAlignment="1">
      <alignment horizontal="center" wrapText="1"/>
    </xf>
    <xf numFmtId="42" fontId="6" fillId="0" borderId="30" xfId="0" applyNumberFormat="1" applyFont="1" applyBorder="1" applyAlignment="1">
      <alignment horizontal="center" wrapText="1"/>
    </xf>
    <xf numFmtId="42" fontId="6" fillId="0" borderId="26" xfId="0" applyNumberFormat="1" applyFont="1" applyBorder="1" applyAlignment="1">
      <alignment horizontal="center"/>
    </xf>
    <xf numFmtId="42" fontId="6" fillId="0" borderId="27" xfId="0" applyNumberFormat="1" applyFont="1" applyBorder="1" applyAlignment="1">
      <alignment horizontal="center"/>
    </xf>
    <xf numFmtId="42" fontId="6" fillId="0" borderId="34" xfId="0" applyNumberFormat="1" applyFont="1" applyBorder="1" applyAlignment="1">
      <alignment horizontal="center"/>
    </xf>
    <xf numFmtId="42" fontId="6" fillId="0" borderId="31" xfId="0" applyNumberFormat="1" applyFont="1" applyBorder="1" applyAlignment="1">
      <alignment horizontal="center"/>
    </xf>
    <xf numFmtId="42" fontId="6" fillId="0" borderId="28" xfId="0" applyNumberFormat="1" applyFont="1" applyBorder="1" applyAlignment="1">
      <alignment horizontal="center"/>
    </xf>
    <xf numFmtId="42" fontId="6" fillId="0" borderId="30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5" fontId="1" fillId="0" borderId="15" xfId="0" applyNumberFormat="1" applyFon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5" fontId="1" fillId="0" borderId="17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1645227</xdr:colOff>
      <xdr:row>5</xdr:row>
      <xdr:rowOff>31259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A51A56-3E3A-4E6D-855A-BE98E3E2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5227" cy="775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1592531</xdr:colOff>
      <xdr:row>1</xdr:row>
      <xdr:rowOff>157655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A347D7-E54D-4CD9-944A-56766A003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92530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5"/>
  <sheetViews>
    <sheetView tabSelected="1" zoomScale="110" zoomScaleNormal="110" workbookViewId="0">
      <selection activeCell="B5" sqref="B5"/>
    </sheetView>
  </sheetViews>
  <sheetFormatPr defaultColWidth="11.42578125" defaultRowHeight="10.5"/>
  <cols>
    <col min="1" max="1" width="35.7109375" style="10" customWidth="1"/>
    <col min="2" max="2" width="3.7109375" style="10" customWidth="1"/>
    <col min="3" max="3" width="10.7109375" style="10" customWidth="1"/>
    <col min="4" max="4" width="3.7109375" style="10" customWidth="1"/>
    <col min="5" max="34" width="10.7109375" style="10" customWidth="1"/>
    <col min="35" max="16384" width="11.42578125" style="10"/>
  </cols>
  <sheetData>
    <row r="1" spans="1:34">
      <c r="A1" s="6"/>
      <c r="B1" s="6"/>
      <c r="C1" s="6"/>
      <c r="D1" s="6"/>
      <c r="E1" s="6"/>
      <c r="F1" s="6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>
      <c r="A2" s="6"/>
      <c r="B2" s="6"/>
      <c r="C2" s="6"/>
      <c r="D2" s="6"/>
      <c r="E2" s="6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1.25" customHeight="1">
      <c r="A3" s="6"/>
      <c r="B3" s="73" t="s">
        <v>0</v>
      </c>
      <c r="C3" s="74"/>
      <c r="D3" s="74"/>
      <c r="E3" s="74"/>
      <c r="F3" s="74"/>
      <c r="G3" s="74"/>
      <c r="H3" s="74"/>
      <c r="I3" s="74"/>
      <c r="J3" s="7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2" customHeight="1" thickBot="1">
      <c r="A4" s="6"/>
      <c r="B4" s="76"/>
      <c r="C4" s="77"/>
      <c r="D4" s="77"/>
      <c r="E4" s="77"/>
      <c r="F4" s="77"/>
      <c r="G4" s="77"/>
      <c r="H4" s="77"/>
      <c r="I4" s="77"/>
      <c r="J4" s="7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>
      <c r="A5" s="6"/>
      <c r="B5" s="9"/>
      <c r="C5" s="9"/>
      <c r="D5" s="9"/>
      <c r="E5" s="9"/>
      <c r="F5" s="9"/>
      <c r="G5" s="9"/>
      <c r="H5" s="9"/>
      <c r="I5" s="9"/>
      <c r="J5" s="62"/>
      <c r="K5" s="79" t="s">
        <v>1</v>
      </c>
      <c r="L5" s="80"/>
      <c r="M5" s="80"/>
      <c r="N5" s="81"/>
      <c r="O5" s="88">
        <f>SUM(E46:I46)</f>
        <v>1258545.306793856</v>
      </c>
      <c r="P5" s="8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1.1" thickBot="1">
      <c r="A6" s="11"/>
      <c r="B6" s="9"/>
      <c r="C6" s="9"/>
      <c r="D6" s="9"/>
      <c r="E6" s="9"/>
      <c r="F6" s="9"/>
      <c r="G6" s="9"/>
      <c r="H6" s="9"/>
      <c r="I6" s="9"/>
      <c r="J6" s="62"/>
      <c r="K6" s="82"/>
      <c r="L6" s="83"/>
      <c r="M6" s="83"/>
      <c r="N6" s="84"/>
      <c r="O6" s="90"/>
      <c r="P6" s="91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1.1" thickBot="1">
      <c r="A7" s="9"/>
      <c r="B7" s="9"/>
      <c r="C7" s="9"/>
      <c r="D7" s="9"/>
      <c r="E7" s="12" t="s">
        <v>2</v>
      </c>
      <c r="F7" s="13">
        <v>2019</v>
      </c>
      <c r="G7" s="14"/>
      <c r="H7" s="98" t="s">
        <v>3</v>
      </c>
      <c r="I7" s="101">
        <f>AH55</f>
        <v>87122.588437919738</v>
      </c>
      <c r="J7" s="62"/>
      <c r="K7" s="85"/>
      <c r="L7" s="86"/>
      <c r="M7" s="86"/>
      <c r="N7" s="87"/>
      <c r="O7" s="92"/>
      <c r="P7" s="93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1.1" thickBot="1">
      <c r="A8" s="9"/>
      <c r="B8" s="9"/>
      <c r="C8" s="9"/>
      <c r="D8" s="9"/>
      <c r="E8" s="12" t="s">
        <v>4</v>
      </c>
      <c r="F8" s="15">
        <v>0.02</v>
      </c>
      <c r="G8" s="14"/>
      <c r="H8" s="99"/>
      <c r="I8" s="102"/>
      <c r="J8" s="8"/>
      <c r="K8" s="63"/>
      <c r="L8" s="63"/>
      <c r="M8" s="63"/>
      <c r="N8" s="63"/>
      <c r="O8" s="63"/>
      <c r="P8" s="63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1.1" thickBot="1">
      <c r="A9" s="17"/>
      <c r="B9" s="9"/>
      <c r="C9" s="9"/>
      <c r="D9" s="9"/>
      <c r="E9" s="12" t="s">
        <v>5</v>
      </c>
      <c r="F9" s="18">
        <v>8000000</v>
      </c>
      <c r="G9" s="14"/>
      <c r="H9" s="99"/>
      <c r="I9" s="102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1.1" thickBot="1">
      <c r="A10" s="17"/>
      <c r="B10" s="14"/>
      <c r="C10" s="9"/>
      <c r="D10" s="9"/>
      <c r="E10" s="12" t="s">
        <v>6</v>
      </c>
      <c r="F10" s="15">
        <v>0.02</v>
      </c>
      <c r="G10" s="14"/>
      <c r="H10" s="100"/>
      <c r="I10" s="103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17"/>
      <c r="B11" s="21"/>
      <c r="C11" s="95" t="s">
        <v>7</v>
      </c>
      <c r="D11" s="6"/>
      <c r="E11" s="9"/>
      <c r="F11" s="9"/>
      <c r="G11" s="9"/>
      <c r="H11" s="22"/>
      <c r="I11" s="22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1.1" thickBot="1">
      <c r="A12" s="17"/>
      <c r="B12" s="21"/>
      <c r="C12" s="96"/>
      <c r="D12" s="23"/>
      <c r="E12" s="24" t="s">
        <v>8</v>
      </c>
      <c r="F12" s="24"/>
      <c r="G12" s="24"/>
      <c r="H12" s="24"/>
      <c r="I12" s="24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ht="11.1" thickBot="1">
      <c r="A13" s="25"/>
      <c r="B13" s="21"/>
      <c r="C13" s="97"/>
      <c r="D13" s="26"/>
      <c r="E13" s="27">
        <v>1</v>
      </c>
      <c r="F13" s="28">
        <f>E13+1</f>
        <v>2</v>
      </c>
      <c r="G13" s="28">
        <f t="shared" ref="G13:I14" si="0">F13+1</f>
        <v>3</v>
      </c>
      <c r="H13" s="28">
        <f t="shared" si="0"/>
        <v>4</v>
      </c>
      <c r="I13" s="29">
        <f t="shared" si="0"/>
        <v>5</v>
      </c>
      <c r="J13" s="29">
        <f>I13+1</f>
        <v>6</v>
      </c>
      <c r="K13" s="29">
        <f t="shared" ref="K13:N14" si="1">J13+1</f>
        <v>7</v>
      </c>
      <c r="L13" s="29">
        <f t="shared" si="1"/>
        <v>8</v>
      </c>
      <c r="M13" s="29">
        <f>L13+1</f>
        <v>9</v>
      </c>
      <c r="N13" s="29">
        <f t="shared" si="1"/>
        <v>10</v>
      </c>
      <c r="O13" s="29">
        <f t="shared" ref="O13:O14" si="2">N13+1</f>
        <v>11</v>
      </c>
      <c r="P13" s="29">
        <f t="shared" ref="P13:P14" si="3">O13+1</f>
        <v>12</v>
      </c>
      <c r="Q13" s="29">
        <f t="shared" ref="Q13:Q14" si="4">P13+1</f>
        <v>13</v>
      </c>
      <c r="R13" s="29">
        <f t="shared" ref="R13:R14" si="5">Q13+1</f>
        <v>14</v>
      </c>
      <c r="S13" s="29">
        <f t="shared" ref="S13:S14" si="6">R13+1</f>
        <v>15</v>
      </c>
      <c r="T13" s="29">
        <f t="shared" ref="T13:T14" si="7">S13+1</f>
        <v>16</v>
      </c>
      <c r="U13" s="29">
        <f t="shared" ref="U13:U14" si="8">T13+1</f>
        <v>17</v>
      </c>
      <c r="V13" s="29">
        <f t="shared" ref="V13:V14" si="9">U13+1</f>
        <v>18</v>
      </c>
      <c r="W13" s="29">
        <f t="shared" ref="W13:W14" si="10">V13+1</f>
        <v>19</v>
      </c>
      <c r="X13" s="29">
        <f t="shared" ref="X13:X14" si="11">W13+1</f>
        <v>20</v>
      </c>
      <c r="Y13" s="29">
        <f t="shared" ref="Y13:Y14" si="12">X13+1</f>
        <v>21</v>
      </c>
      <c r="Z13" s="29">
        <f t="shared" ref="Z13:Z14" si="13">Y13+1</f>
        <v>22</v>
      </c>
      <c r="AA13" s="29">
        <f t="shared" ref="AA13:AA14" si="14">Z13+1</f>
        <v>23</v>
      </c>
      <c r="AB13" s="29">
        <f t="shared" ref="AB13:AB14" si="15">AA13+1</f>
        <v>24</v>
      </c>
      <c r="AC13" s="29">
        <f t="shared" ref="AC13:AC14" si="16">AB13+1</f>
        <v>25</v>
      </c>
      <c r="AD13" s="29">
        <f t="shared" ref="AD13:AD14" si="17">AC13+1</f>
        <v>26</v>
      </c>
      <c r="AE13" s="29">
        <f t="shared" ref="AE13:AE14" si="18">AD13+1</f>
        <v>27</v>
      </c>
      <c r="AF13" s="29">
        <f t="shared" ref="AF13:AF14" si="19">AE13+1</f>
        <v>28</v>
      </c>
      <c r="AG13" s="29">
        <f t="shared" ref="AG13:AG14" si="20">AF13+1</f>
        <v>29</v>
      </c>
      <c r="AH13" s="29">
        <f t="shared" ref="AH13:AH14" si="21">AG13+1</f>
        <v>30</v>
      </c>
    </row>
    <row r="14" spans="1:34" ht="11.1" thickBot="1">
      <c r="A14" s="30" t="s">
        <v>9</v>
      </c>
      <c r="B14" s="24"/>
      <c r="C14" s="27">
        <v>2015</v>
      </c>
      <c r="D14" s="31"/>
      <c r="E14" s="27">
        <f>F7</f>
        <v>2019</v>
      </c>
      <c r="F14" s="28">
        <f>E14+1</f>
        <v>2020</v>
      </c>
      <c r="G14" s="28">
        <f t="shared" si="0"/>
        <v>2021</v>
      </c>
      <c r="H14" s="28">
        <f t="shared" si="0"/>
        <v>2022</v>
      </c>
      <c r="I14" s="29">
        <f t="shared" si="0"/>
        <v>2023</v>
      </c>
      <c r="J14" s="16">
        <f>I14+1</f>
        <v>2024</v>
      </c>
      <c r="K14" s="16">
        <f t="shared" si="1"/>
        <v>2025</v>
      </c>
      <c r="L14" s="16">
        <f t="shared" si="1"/>
        <v>2026</v>
      </c>
      <c r="M14" s="16">
        <f>L14+1</f>
        <v>2027</v>
      </c>
      <c r="N14" s="16">
        <f t="shared" si="1"/>
        <v>2028</v>
      </c>
      <c r="O14" s="16">
        <f t="shared" si="2"/>
        <v>2029</v>
      </c>
      <c r="P14" s="16">
        <f t="shared" si="3"/>
        <v>2030</v>
      </c>
      <c r="Q14" s="16">
        <f t="shared" si="4"/>
        <v>2031</v>
      </c>
      <c r="R14" s="16">
        <f t="shared" si="5"/>
        <v>2032</v>
      </c>
      <c r="S14" s="16">
        <f t="shared" si="6"/>
        <v>2033</v>
      </c>
      <c r="T14" s="16">
        <f t="shared" si="7"/>
        <v>2034</v>
      </c>
      <c r="U14" s="16">
        <f t="shared" si="8"/>
        <v>2035</v>
      </c>
      <c r="V14" s="16">
        <f t="shared" si="9"/>
        <v>2036</v>
      </c>
      <c r="W14" s="16">
        <f t="shared" si="10"/>
        <v>2037</v>
      </c>
      <c r="X14" s="16">
        <f t="shared" si="11"/>
        <v>2038</v>
      </c>
      <c r="Y14" s="16">
        <f t="shared" si="12"/>
        <v>2039</v>
      </c>
      <c r="Z14" s="16">
        <f t="shared" si="13"/>
        <v>2040</v>
      </c>
      <c r="AA14" s="16">
        <f t="shared" si="14"/>
        <v>2041</v>
      </c>
      <c r="AB14" s="16">
        <f t="shared" si="15"/>
        <v>2042</v>
      </c>
      <c r="AC14" s="16">
        <f t="shared" si="16"/>
        <v>2043</v>
      </c>
      <c r="AD14" s="16">
        <f t="shared" si="17"/>
        <v>2044</v>
      </c>
      <c r="AE14" s="16">
        <f t="shared" si="18"/>
        <v>2045</v>
      </c>
      <c r="AF14" s="16">
        <f t="shared" si="19"/>
        <v>2046</v>
      </c>
      <c r="AG14" s="16">
        <f t="shared" si="20"/>
        <v>2047</v>
      </c>
      <c r="AH14" s="16">
        <f t="shared" si="21"/>
        <v>2048</v>
      </c>
    </row>
    <row r="15" spans="1:34">
      <c r="A15" s="32"/>
      <c r="B15" s="24"/>
      <c r="C15" s="30"/>
      <c r="D15" s="33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>
      <c r="A16" s="34" t="s">
        <v>10</v>
      </c>
      <c r="B16" s="24"/>
      <c r="C16" s="35"/>
      <c r="D16" s="33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>
      <c r="A17" s="19" t="s">
        <v>11</v>
      </c>
      <c r="B17" s="34"/>
      <c r="C17" s="20">
        <v>1000</v>
      </c>
      <c r="D17" s="34"/>
      <c r="E17" s="20">
        <f>$C17*(1+$F$8)^(E$14-$C$14)</f>
        <v>1082.4321600000001</v>
      </c>
      <c r="F17" s="20">
        <f t="shared" ref="E17:I21" si="22">$C17*(1+$F$8)^(F$14-$C$14)</f>
        <v>1104.0808032</v>
      </c>
      <c r="G17" s="20">
        <f t="shared" si="22"/>
        <v>1126.1624192640002</v>
      </c>
      <c r="H17" s="20">
        <f t="shared" si="22"/>
        <v>1148.6856676492798</v>
      </c>
      <c r="I17" s="20">
        <f t="shared" si="22"/>
        <v>1171.6593810022655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19" t="s">
        <v>12</v>
      </c>
      <c r="B18" s="34"/>
      <c r="C18" s="20">
        <v>7250</v>
      </c>
      <c r="D18" s="34"/>
      <c r="E18" s="20">
        <f t="shared" si="22"/>
        <v>7847.6331599999994</v>
      </c>
      <c r="F18" s="20">
        <f t="shared" si="22"/>
        <v>8004.5858232</v>
      </c>
      <c r="G18" s="20">
        <f t="shared" si="22"/>
        <v>8164.6775396640005</v>
      </c>
      <c r="H18" s="20">
        <f t="shared" si="22"/>
        <v>8327.9710904572785</v>
      </c>
      <c r="I18" s="20">
        <f t="shared" si="22"/>
        <v>8494.5305122664249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19" t="s">
        <v>13</v>
      </c>
      <c r="B19" s="34"/>
      <c r="C19" s="20">
        <v>15800</v>
      </c>
      <c r="D19" s="34"/>
      <c r="E19" s="20">
        <f t="shared" si="22"/>
        <v>17102.428128</v>
      </c>
      <c r="F19" s="20">
        <f t="shared" si="22"/>
        <v>17444.476690560001</v>
      </c>
      <c r="G19" s="20">
        <f t="shared" si="22"/>
        <v>17793.366224371202</v>
      </c>
      <c r="H19" s="20">
        <f t="shared" si="22"/>
        <v>18149.233548858621</v>
      </c>
      <c r="I19" s="20">
        <f t="shared" si="22"/>
        <v>18512.218219835795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19" t="s">
        <v>14</v>
      </c>
      <c r="B20" s="34"/>
      <c r="C20" s="20">
        <v>7350</v>
      </c>
      <c r="D20" s="34"/>
      <c r="E20" s="20">
        <f t="shared" si="22"/>
        <v>7955.8763760000002</v>
      </c>
      <c r="F20" s="20">
        <f t="shared" si="22"/>
        <v>8114.9939035200005</v>
      </c>
      <c r="G20" s="20">
        <f t="shared" si="22"/>
        <v>8277.2937815904006</v>
      </c>
      <c r="H20" s="20">
        <f t="shared" si="22"/>
        <v>8442.8396572222064</v>
      </c>
      <c r="I20" s="20">
        <f t="shared" si="22"/>
        <v>8611.6964503666513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34">
      <c r="A21" s="19" t="s">
        <v>15</v>
      </c>
      <c r="B21" s="34"/>
      <c r="C21" s="20">
        <v>14100</v>
      </c>
      <c r="D21" s="34"/>
      <c r="E21" s="20">
        <f t="shared" si="22"/>
        <v>15262.293455999999</v>
      </c>
      <c r="F21" s="20">
        <f t="shared" si="22"/>
        <v>15567.53932512</v>
      </c>
      <c r="G21" s="20">
        <f t="shared" si="22"/>
        <v>15878.890111622401</v>
      </c>
      <c r="H21" s="20">
        <f t="shared" si="22"/>
        <v>16196.467913854845</v>
      </c>
      <c r="I21" s="20">
        <f t="shared" si="22"/>
        <v>16520.397272131944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4">
      <c r="A22" s="19" t="s">
        <v>16</v>
      </c>
      <c r="B22" s="34"/>
      <c r="C22" s="20">
        <v>7250</v>
      </c>
      <c r="D22" s="34"/>
      <c r="E22" s="20">
        <f>'Plan remplacement d''équipement'!B10*(1+$F$8)^(E$14-$C$14)</f>
        <v>0</v>
      </c>
      <c r="F22" s="20">
        <f>'Plan remplacement d''équipement'!C10*(1+$F$8)^(F$14-$C$14)</f>
        <v>5520.4040160000004</v>
      </c>
      <c r="G22" s="20">
        <f>'Plan remplacement d''équipement'!D10*(1+$F$8)^(G$14-$C$14)</f>
        <v>1126.1624192640002</v>
      </c>
      <c r="H22" s="20">
        <f>'Plan remplacement d''équipement'!E10*(1+$F$8)^(H$14-$C$14)</f>
        <v>3446.0570029478395</v>
      </c>
      <c r="I22" s="20">
        <f>'Plan remplacement d''équipement'!F10*(1+$F$8)^(I$14-$C$14)</f>
        <v>26362.336072550974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</row>
    <row r="23" spans="1:34">
      <c r="A23" s="34" t="s">
        <v>17</v>
      </c>
      <c r="B23" s="34"/>
      <c r="C23" s="37">
        <f>SUM(C17:C22)</f>
        <v>52750</v>
      </c>
      <c r="D23" s="34"/>
      <c r="E23" s="37">
        <f>SUM(E17:E22)</f>
        <v>49250.663280000001</v>
      </c>
      <c r="F23" s="37">
        <f>SUM(F17:F22)</f>
        <v>55756.0805616</v>
      </c>
      <c r="G23" s="37">
        <f>SUM(G17:G22)</f>
        <v>52366.552495776006</v>
      </c>
      <c r="H23" s="37">
        <f>SUM(H17:H22)</f>
        <v>55711.254880990069</v>
      </c>
      <c r="I23" s="37">
        <f>SUM(I17:I22)</f>
        <v>79672.837908154062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</row>
    <row r="24" spans="1:34">
      <c r="A24" s="34"/>
      <c r="B24" s="34"/>
      <c r="C24" s="9"/>
      <c r="D24" s="34"/>
      <c r="E24" s="9"/>
      <c r="F24" s="9"/>
      <c r="G24" s="9"/>
      <c r="H24" s="9"/>
      <c r="I24" s="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</row>
    <row r="25" spans="1:34">
      <c r="A25" s="34" t="s">
        <v>18</v>
      </c>
      <c r="B25" s="24"/>
      <c r="C25" s="20"/>
      <c r="D25" s="34"/>
      <c r="E25" s="20"/>
      <c r="F25" s="20"/>
      <c r="G25" s="20"/>
      <c r="H25" s="20"/>
      <c r="I25" s="20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</row>
    <row r="26" spans="1:34">
      <c r="A26" s="19" t="s">
        <v>19</v>
      </c>
      <c r="B26" s="24"/>
      <c r="C26" s="20">
        <v>29020</v>
      </c>
      <c r="D26" s="34"/>
      <c r="E26" s="20">
        <f t="shared" ref="E26:I29" si="23">$C26*(1+$F$8)^(E$14-$C$14)</f>
        <v>31412.1812832</v>
      </c>
      <c r="F26" s="20">
        <f t="shared" si="23"/>
        <v>32040.424908863999</v>
      </c>
      <c r="G26" s="20">
        <f t="shared" si="23"/>
        <v>32681.233407041283</v>
      </c>
      <c r="H26" s="20">
        <f t="shared" si="23"/>
        <v>33334.858075182099</v>
      </c>
      <c r="I26" s="20">
        <f t="shared" si="23"/>
        <v>34001.555236685745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</row>
    <row r="27" spans="1:34">
      <c r="A27" s="19" t="s">
        <v>20</v>
      </c>
      <c r="B27" s="24"/>
      <c r="C27" s="20">
        <v>13320</v>
      </c>
      <c r="D27" s="34"/>
      <c r="E27" s="20">
        <f t="shared" si="23"/>
        <v>14417.996371199999</v>
      </c>
      <c r="F27" s="20">
        <f t="shared" si="23"/>
        <v>14706.356298623999</v>
      </c>
      <c r="G27" s="20">
        <f t="shared" si="23"/>
        <v>15000.483424596481</v>
      </c>
      <c r="H27" s="20">
        <f t="shared" si="23"/>
        <v>15300.493093088407</v>
      </c>
      <c r="I27" s="20">
        <f t="shared" si="23"/>
        <v>15606.502954950176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</row>
    <row r="28" spans="1:34">
      <c r="A28" s="19" t="s">
        <v>21</v>
      </c>
      <c r="B28" s="24"/>
      <c r="C28" s="20">
        <v>1700</v>
      </c>
      <c r="D28" s="39"/>
      <c r="E28" s="20">
        <f t="shared" si="23"/>
        <v>1840.1346719999999</v>
      </c>
      <c r="F28" s="20">
        <f t="shared" si="23"/>
        <v>1876.9373654400001</v>
      </c>
      <c r="G28" s="20">
        <f t="shared" si="23"/>
        <v>1914.4761127488</v>
      </c>
      <c r="H28" s="20">
        <f t="shared" si="23"/>
        <v>1952.7656350037757</v>
      </c>
      <c r="I28" s="20">
        <f t="shared" si="23"/>
        <v>1991.8209477038513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  <row r="29" spans="1:34">
      <c r="A29" s="19" t="s">
        <v>22</v>
      </c>
      <c r="B29" s="24"/>
      <c r="C29" s="20">
        <v>500</v>
      </c>
      <c r="D29" s="39"/>
      <c r="E29" s="20">
        <f t="shared" si="23"/>
        <v>541.21608000000003</v>
      </c>
      <c r="F29" s="20">
        <f t="shared" si="23"/>
        <v>552.0404016</v>
      </c>
      <c r="G29" s="20">
        <f t="shared" si="23"/>
        <v>563.08120963200008</v>
      </c>
      <c r="H29" s="20">
        <f t="shared" si="23"/>
        <v>574.34283382463991</v>
      </c>
      <c r="I29" s="20">
        <f t="shared" si="23"/>
        <v>585.82969050113275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</row>
    <row r="30" spans="1:34">
      <c r="A30" s="34" t="s">
        <v>17</v>
      </c>
      <c r="B30" s="24"/>
      <c r="C30" s="38">
        <f>SUM(C25:C29)</f>
        <v>44540</v>
      </c>
      <c r="D30" s="39"/>
      <c r="E30" s="38">
        <f>SUM(E25:E29)</f>
        <v>48211.528406400001</v>
      </c>
      <c r="F30" s="38">
        <f t="shared" ref="F30:I30" si="24">SUM(F25:F29)</f>
        <v>49175.758974527998</v>
      </c>
      <c r="G30" s="38">
        <f t="shared" si="24"/>
        <v>50159.274154018567</v>
      </c>
      <c r="H30" s="38">
        <f t="shared" si="24"/>
        <v>51162.459637098917</v>
      </c>
      <c r="I30" s="38">
        <f t="shared" si="24"/>
        <v>52185.708829840907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</row>
    <row r="31" spans="1:34">
      <c r="A31" s="34"/>
      <c r="B31" s="24"/>
      <c r="C31" s="38"/>
      <c r="D31" s="39"/>
      <c r="E31" s="20"/>
      <c r="F31" s="20"/>
      <c r="G31" s="20"/>
      <c r="H31" s="20"/>
      <c r="I31" s="20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</row>
    <row r="32" spans="1:34">
      <c r="A32" s="34" t="s">
        <v>23</v>
      </c>
      <c r="B32" s="24"/>
      <c r="C32" s="38">
        <v>63750</v>
      </c>
      <c r="D32" s="39"/>
      <c r="E32" s="38">
        <f>$C32*(1+$F$8)^(E$14-$C$14)</f>
        <v>69005.050199999998</v>
      </c>
      <c r="F32" s="38">
        <f>$C32*(1+$F$8)^(F$14-$C$14)</f>
        <v>70385.151203999994</v>
      </c>
      <c r="G32" s="38">
        <f>$C32*(1+$F$8)^(G$14-$C$14)</f>
        <v>71792.854228080003</v>
      </c>
      <c r="H32" s="38">
        <f>$C32*(1+$F$8)^(H$14-$C$14)</f>
        <v>73228.711312641593</v>
      </c>
      <c r="I32" s="38">
        <f>$C32*(1+$F$8)^(I$14-$C$14)</f>
        <v>74693.28553889443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>
      <c r="A33" s="34"/>
      <c r="B33" s="24"/>
      <c r="C33" s="38"/>
      <c r="D33" s="39"/>
      <c r="E33" s="38"/>
      <c r="F33" s="38"/>
      <c r="G33" s="38"/>
      <c r="H33" s="38"/>
      <c r="I33" s="38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>
      <c r="A34" s="34" t="s">
        <v>24</v>
      </c>
      <c r="B34" s="24"/>
      <c r="C34" s="40">
        <v>22350</v>
      </c>
      <c r="D34" s="39"/>
      <c r="E34" s="40">
        <f>$C34*(1+$F$8)^(E$14-$C$14)</f>
        <v>24192.358776000001</v>
      </c>
      <c r="F34" s="40">
        <f>$C34*(1+$F$8)^(F$14-$C$14)</f>
        <v>24676.205951520002</v>
      </c>
      <c r="G34" s="40">
        <f>$C34*(1+$F$8)^(G$14-$C$14)</f>
        <v>25169.730070550402</v>
      </c>
      <c r="H34" s="40">
        <f>$C34*(1+$F$8)^(H$14-$C$14)</f>
        <v>25673.124671961403</v>
      </c>
      <c r="I34" s="40">
        <f>$C34*(1+$F$8)^(I$14-$C$14)</f>
        <v>26186.587165400633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>
      <c r="A35" s="34"/>
      <c r="B35" s="24"/>
      <c r="C35" s="20"/>
      <c r="D35" s="39"/>
      <c r="E35" s="20"/>
      <c r="F35" s="20"/>
      <c r="G35" s="20"/>
      <c r="H35" s="20"/>
      <c r="I35" s="20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34" t="s">
        <v>25</v>
      </c>
      <c r="B36" s="24"/>
      <c r="C36" s="20"/>
      <c r="D36" s="39"/>
      <c r="E36" s="20"/>
      <c r="F36" s="20"/>
      <c r="G36" s="20"/>
      <c r="H36" s="20"/>
      <c r="I36" s="20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>
      <c r="A37" s="19" t="s">
        <v>26</v>
      </c>
      <c r="B37" s="24"/>
      <c r="C37" s="20">
        <v>12000</v>
      </c>
      <c r="D37" s="39"/>
      <c r="E37" s="20">
        <f t="shared" ref="E37:I39" si="25">$C37*(1+$F$8)^(E$14-$C$14)</f>
        <v>12989.18592</v>
      </c>
      <c r="F37" s="20">
        <f t="shared" si="25"/>
        <v>13248.9696384</v>
      </c>
      <c r="G37" s="20">
        <f t="shared" si="25"/>
        <v>13513.949031168</v>
      </c>
      <c r="H37" s="20">
        <f t="shared" si="25"/>
        <v>13784.228011791358</v>
      </c>
      <c r="I37" s="20">
        <f t="shared" si="25"/>
        <v>14059.912572027186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>
      <c r="A38" s="19" t="s">
        <v>27</v>
      </c>
      <c r="B38" s="24"/>
      <c r="C38" s="20">
        <v>8000</v>
      </c>
      <c r="D38" s="39"/>
      <c r="E38" s="20">
        <f t="shared" si="25"/>
        <v>8659.4572800000005</v>
      </c>
      <c r="F38" s="20">
        <f t="shared" si="25"/>
        <v>8832.6464255999999</v>
      </c>
      <c r="G38" s="20">
        <f t="shared" si="25"/>
        <v>9009.2993541120013</v>
      </c>
      <c r="H38" s="20">
        <f t="shared" si="25"/>
        <v>9189.4853411942386</v>
      </c>
      <c r="I38" s="20">
        <f t="shared" si="25"/>
        <v>9373.2750480181239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19" t="s">
        <v>28</v>
      </c>
      <c r="B39" s="24"/>
      <c r="C39" s="20">
        <v>500</v>
      </c>
      <c r="D39" s="39"/>
      <c r="E39" s="20">
        <f t="shared" si="25"/>
        <v>541.21608000000003</v>
      </c>
      <c r="F39" s="20">
        <f t="shared" si="25"/>
        <v>552.0404016</v>
      </c>
      <c r="G39" s="20">
        <f t="shared" si="25"/>
        <v>563.08120963200008</v>
      </c>
      <c r="H39" s="20">
        <f t="shared" si="25"/>
        <v>574.34283382463991</v>
      </c>
      <c r="I39" s="20">
        <f t="shared" si="25"/>
        <v>585.82969050113275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34" t="s">
        <v>17</v>
      </c>
      <c r="B40" s="24"/>
      <c r="C40" s="38">
        <f>SUM(C37:C39)</f>
        <v>20500</v>
      </c>
      <c r="D40" s="39"/>
      <c r="E40" s="38">
        <f>SUM(E37:E39)</f>
        <v>22189.859279999997</v>
      </c>
      <c r="F40" s="38">
        <f t="shared" ref="F40:I40" si="26">SUM(F37:F39)</f>
        <v>22633.656465600001</v>
      </c>
      <c r="G40" s="38">
        <f t="shared" si="26"/>
        <v>23086.329594912</v>
      </c>
      <c r="H40" s="38">
        <f t="shared" si="26"/>
        <v>23548.056186810238</v>
      </c>
      <c r="I40" s="38">
        <f t="shared" si="26"/>
        <v>24019.017310546446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1.1" thickBot="1">
      <c r="A41" s="34"/>
      <c r="B41" s="24"/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</row>
    <row r="42" spans="1:34" ht="11.1" thickTop="1">
      <c r="A42" s="30" t="s">
        <v>29</v>
      </c>
      <c r="B42" s="24"/>
      <c r="C42" s="69">
        <f>C40+C34+C32+C30+C23</f>
        <v>203890</v>
      </c>
      <c r="D42" s="70"/>
      <c r="E42" s="69">
        <f>E40+E34+E32+E30+E23</f>
        <v>212849.45994240002</v>
      </c>
      <c r="F42" s="69">
        <f>F40+F34+F32+F30+F23</f>
        <v>222626.853157248</v>
      </c>
      <c r="G42" s="69">
        <f t="shared" ref="G42:I42" si="27">G40+G34+G32+G30+G23</f>
        <v>222574.74054333699</v>
      </c>
      <c r="H42" s="69">
        <f t="shared" si="27"/>
        <v>229323.60668950222</v>
      </c>
      <c r="I42" s="69">
        <f t="shared" si="27"/>
        <v>256757.43675283648</v>
      </c>
      <c r="J42" s="69">
        <f>$C42*(1+$F$8)^(J$14-$C$14)</f>
        <v>243667.42381640297</v>
      </c>
      <c r="K42" s="69">
        <f t="shared" ref="K42:AH42" si="28">$C42*(1+$F$8)^(K$14-$C$14)</f>
        <v>248540.77229273104</v>
      </c>
      <c r="L42" s="69">
        <f t="shared" si="28"/>
        <v>253511.5877385856</v>
      </c>
      <c r="M42" s="69">
        <f t="shared" si="28"/>
        <v>258581.81949335735</v>
      </c>
      <c r="N42" s="69">
        <f t="shared" si="28"/>
        <v>263753.45588322449</v>
      </c>
      <c r="O42" s="69">
        <f t="shared" si="28"/>
        <v>269028.52500088903</v>
      </c>
      <c r="P42" s="69">
        <f t="shared" si="28"/>
        <v>274409.0955009067</v>
      </c>
      <c r="Q42" s="69">
        <f t="shared" si="28"/>
        <v>279897.2774109249</v>
      </c>
      <c r="R42" s="69">
        <f t="shared" si="28"/>
        <v>285495.2229591434</v>
      </c>
      <c r="S42" s="69">
        <f t="shared" si="28"/>
        <v>291205.12741832627</v>
      </c>
      <c r="T42" s="69">
        <f t="shared" si="28"/>
        <v>297029.22996669274</v>
      </c>
      <c r="U42" s="69">
        <f t="shared" si="28"/>
        <v>302969.81456602662</v>
      </c>
      <c r="V42" s="69">
        <f t="shared" si="28"/>
        <v>309029.21085734718</v>
      </c>
      <c r="W42" s="69">
        <f t="shared" si="28"/>
        <v>315209.79507449409</v>
      </c>
      <c r="X42" s="69">
        <f t="shared" si="28"/>
        <v>321513.99097598396</v>
      </c>
      <c r="Y42" s="69">
        <f t="shared" si="28"/>
        <v>327944.27079550363</v>
      </c>
      <c r="Z42" s="69">
        <f t="shared" si="28"/>
        <v>334503.15621141373</v>
      </c>
      <c r="AA42" s="69">
        <f t="shared" si="28"/>
        <v>341193.219335642</v>
      </c>
      <c r="AB42" s="69">
        <f t="shared" si="28"/>
        <v>348017.08372235479</v>
      </c>
      <c r="AC42" s="69">
        <f t="shared" si="28"/>
        <v>354977.42539680196</v>
      </c>
      <c r="AD42" s="69">
        <f t="shared" si="28"/>
        <v>362076.97390473797</v>
      </c>
      <c r="AE42" s="69">
        <f t="shared" si="28"/>
        <v>369318.51338283275</v>
      </c>
      <c r="AF42" s="69">
        <f t="shared" si="28"/>
        <v>376704.88365048933</v>
      </c>
      <c r="AG42" s="69">
        <f t="shared" si="28"/>
        <v>384238.98132349917</v>
      </c>
      <c r="AH42" s="69">
        <f t="shared" si="28"/>
        <v>391923.76094996918</v>
      </c>
    </row>
    <row r="43" spans="1:34">
      <c r="A43" s="30"/>
      <c r="B43" s="24"/>
      <c r="C43" s="40"/>
      <c r="D43" s="44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</row>
    <row r="44" spans="1:34">
      <c r="A44" s="72" t="s">
        <v>30</v>
      </c>
      <c r="B44" s="24"/>
      <c r="C44" s="45">
        <f>C42*0.1</f>
        <v>20389</v>
      </c>
      <c r="D44" s="42"/>
      <c r="E44" s="45">
        <f>E42*0.1</f>
        <v>21284.945994240003</v>
      </c>
      <c r="F44" s="45">
        <f t="shared" ref="F44:I44" si="29">F42*0.1</f>
        <v>22262.685315724801</v>
      </c>
      <c r="G44" s="45">
        <f t="shared" si="29"/>
        <v>22257.474054333699</v>
      </c>
      <c r="H44" s="45">
        <f t="shared" si="29"/>
        <v>22932.360668950223</v>
      </c>
      <c r="I44" s="45">
        <f t="shared" si="29"/>
        <v>25675.743675283651</v>
      </c>
      <c r="J44" s="45">
        <f t="shared" ref="J44:AH44" si="30">J42*0.1</f>
        <v>24366.742381640299</v>
      </c>
      <c r="K44" s="45">
        <f t="shared" si="30"/>
        <v>24854.077229273105</v>
      </c>
      <c r="L44" s="45">
        <f t="shared" si="30"/>
        <v>25351.158773858562</v>
      </c>
      <c r="M44" s="45">
        <f t="shared" si="30"/>
        <v>25858.181949335736</v>
      </c>
      <c r="N44" s="45">
        <f t="shared" si="30"/>
        <v>26375.345588322452</v>
      </c>
      <c r="O44" s="45">
        <f t="shared" si="30"/>
        <v>26902.852500088906</v>
      </c>
      <c r="P44" s="45">
        <f t="shared" si="30"/>
        <v>27440.90955009067</v>
      </c>
      <c r="Q44" s="45">
        <f t="shared" si="30"/>
        <v>27989.727741092491</v>
      </c>
      <c r="R44" s="45">
        <f t="shared" si="30"/>
        <v>28549.522295914343</v>
      </c>
      <c r="S44" s="45">
        <f t="shared" si="30"/>
        <v>29120.51274183263</v>
      </c>
      <c r="T44" s="45">
        <f t="shared" si="30"/>
        <v>29702.922996669276</v>
      </c>
      <c r="U44" s="45">
        <f t="shared" si="30"/>
        <v>30296.981456602662</v>
      </c>
      <c r="V44" s="45">
        <f t="shared" si="30"/>
        <v>30902.921085734721</v>
      </c>
      <c r="W44" s="45">
        <f t="shared" si="30"/>
        <v>31520.97950744941</v>
      </c>
      <c r="X44" s="45">
        <f t="shared" si="30"/>
        <v>32151.399097598398</v>
      </c>
      <c r="Y44" s="45">
        <f t="shared" si="30"/>
        <v>32794.427079550362</v>
      </c>
      <c r="Z44" s="45">
        <f t="shared" si="30"/>
        <v>33450.315621141373</v>
      </c>
      <c r="AA44" s="45">
        <f t="shared" si="30"/>
        <v>34119.321933564199</v>
      </c>
      <c r="AB44" s="45">
        <f t="shared" si="30"/>
        <v>34801.70837223548</v>
      </c>
      <c r="AC44" s="45">
        <f t="shared" si="30"/>
        <v>35497.742539680199</v>
      </c>
      <c r="AD44" s="45">
        <f t="shared" si="30"/>
        <v>36207.697390473797</v>
      </c>
      <c r="AE44" s="45">
        <f t="shared" si="30"/>
        <v>36931.851338283275</v>
      </c>
      <c r="AF44" s="45">
        <f t="shared" si="30"/>
        <v>37670.488365048936</v>
      </c>
      <c r="AG44" s="45">
        <f t="shared" si="30"/>
        <v>38423.898132349917</v>
      </c>
      <c r="AH44" s="45">
        <f t="shared" si="30"/>
        <v>39192.376094996922</v>
      </c>
    </row>
    <row r="45" spans="1:34" ht="11.1" thickBot="1">
      <c r="A45" s="34"/>
      <c r="B45" s="24"/>
      <c r="C45" s="46"/>
      <c r="D45" s="3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</row>
    <row r="46" spans="1:34" ht="11.1" thickBot="1">
      <c r="A46" s="34" t="s">
        <v>31</v>
      </c>
      <c r="B46" s="24"/>
      <c r="C46" s="45">
        <f>C42+C44</f>
        <v>224279</v>
      </c>
      <c r="D46" s="64"/>
      <c r="E46" s="66">
        <f t="shared" ref="E46:AH46" si="31">E42+E44</f>
        <v>234134.40593664002</v>
      </c>
      <c r="F46" s="67">
        <f t="shared" si="31"/>
        <v>244889.53847297281</v>
      </c>
      <c r="G46" s="67">
        <f t="shared" si="31"/>
        <v>244832.21459767068</v>
      </c>
      <c r="H46" s="67">
        <f t="shared" si="31"/>
        <v>252255.96735845244</v>
      </c>
      <c r="I46" s="68">
        <f t="shared" si="31"/>
        <v>282433.18042812013</v>
      </c>
      <c r="J46" s="65">
        <f t="shared" si="31"/>
        <v>268034.16619804327</v>
      </c>
      <c r="K46" s="45">
        <f t="shared" si="31"/>
        <v>273394.84952200414</v>
      </c>
      <c r="L46" s="45">
        <f t="shared" si="31"/>
        <v>278862.74651244417</v>
      </c>
      <c r="M46" s="45">
        <f t="shared" si="31"/>
        <v>284440.00144269312</v>
      </c>
      <c r="N46" s="45">
        <f t="shared" si="31"/>
        <v>290128.80147154693</v>
      </c>
      <c r="O46" s="45">
        <f t="shared" si="31"/>
        <v>295931.37750097795</v>
      </c>
      <c r="P46" s="45">
        <f t="shared" si="31"/>
        <v>301850.00505099737</v>
      </c>
      <c r="Q46" s="45">
        <f t="shared" si="31"/>
        <v>307887.0051520174</v>
      </c>
      <c r="R46" s="45">
        <f t="shared" si="31"/>
        <v>314044.74525505776</v>
      </c>
      <c r="S46" s="45">
        <f t="shared" si="31"/>
        <v>320325.64016015892</v>
      </c>
      <c r="T46" s="45">
        <f t="shared" si="31"/>
        <v>326732.15296336199</v>
      </c>
      <c r="U46" s="45">
        <f t="shared" si="31"/>
        <v>333266.79602262925</v>
      </c>
      <c r="V46" s="45">
        <f t="shared" si="31"/>
        <v>339932.13194308191</v>
      </c>
      <c r="W46" s="45">
        <f t="shared" si="31"/>
        <v>346730.77458194352</v>
      </c>
      <c r="X46" s="45">
        <f t="shared" si="31"/>
        <v>353665.39007358236</v>
      </c>
      <c r="Y46" s="45">
        <f t="shared" si="31"/>
        <v>360738.69787505397</v>
      </c>
      <c r="Z46" s="45">
        <f t="shared" si="31"/>
        <v>367953.47183255514</v>
      </c>
      <c r="AA46" s="45">
        <f t="shared" si="31"/>
        <v>375312.54126920621</v>
      </c>
      <c r="AB46" s="45">
        <f t="shared" si="31"/>
        <v>382818.79209459026</v>
      </c>
      <c r="AC46" s="45">
        <f t="shared" si="31"/>
        <v>390475.16793648218</v>
      </c>
      <c r="AD46" s="45">
        <f t="shared" si="31"/>
        <v>398284.67129521177</v>
      </c>
      <c r="AE46" s="45">
        <f t="shared" si="31"/>
        <v>406250.36472111603</v>
      </c>
      <c r="AF46" s="45">
        <f t="shared" si="31"/>
        <v>414375.37201553828</v>
      </c>
      <c r="AG46" s="45">
        <f t="shared" si="31"/>
        <v>422662.87945584906</v>
      </c>
      <c r="AH46" s="45">
        <f t="shared" si="31"/>
        <v>431116.1370449661</v>
      </c>
    </row>
    <row r="47" spans="1:34">
      <c r="A47" s="34"/>
      <c r="B47" s="24"/>
      <c r="C47" s="46"/>
      <c r="D47" s="3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</row>
    <row r="48" spans="1:34">
      <c r="A48" s="34" t="s">
        <v>32</v>
      </c>
      <c r="B48" s="24"/>
      <c r="C48" s="20">
        <v>3000</v>
      </c>
      <c r="D48" s="39"/>
      <c r="E48" s="20">
        <f>$C48*(1+$F$8)^(E$14-$C$14)</f>
        <v>3247.29648</v>
      </c>
      <c r="F48" s="36">
        <f>$C48*(1+$F$8)^(F$14-$C$14)</f>
        <v>3312.2424096</v>
      </c>
      <c r="G48" s="36">
        <f>$C48*(1+$F$8)^(G$14-$C$14)</f>
        <v>3378.487257792</v>
      </c>
      <c r="H48" s="36">
        <f>$C48*(1+$F$8)^(H$14-$C$14)</f>
        <v>3446.0570029478395</v>
      </c>
      <c r="I48" s="36">
        <f>$C48*(1+$F$8)^(I$14-$C$14)</f>
        <v>3514.9781430067965</v>
      </c>
      <c r="J48" s="36">
        <f t="shared" ref="J48:AH48" si="32">$C48*(1+$F$8)^(J$14-$C$14)</f>
        <v>3585.2777058669326</v>
      </c>
      <c r="K48" s="36">
        <f t="shared" si="32"/>
        <v>3656.9832599842712</v>
      </c>
      <c r="L48" s="36">
        <f t="shared" si="32"/>
        <v>3730.1229251839559</v>
      </c>
      <c r="M48" s="36">
        <f t="shared" si="32"/>
        <v>3804.7253836876357</v>
      </c>
      <c r="N48" s="36">
        <f t="shared" si="32"/>
        <v>3880.8198913613883</v>
      </c>
      <c r="O48" s="36">
        <f t="shared" si="32"/>
        <v>3958.4362891886162</v>
      </c>
      <c r="P48" s="36">
        <f t="shared" si="32"/>
        <v>4037.6050149723878</v>
      </c>
      <c r="Q48" s="36">
        <f t="shared" si="32"/>
        <v>4118.3571152718359</v>
      </c>
      <c r="R48" s="36">
        <f t="shared" si="32"/>
        <v>4200.7242575772734</v>
      </c>
      <c r="S48" s="36">
        <f t="shared" si="32"/>
        <v>4284.7387427288186</v>
      </c>
      <c r="T48" s="36">
        <f t="shared" si="32"/>
        <v>4370.433517583394</v>
      </c>
      <c r="U48" s="36">
        <f t="shared" si="32"/>
        <v>4457.8421879350626</v>
      </c>
      <c r="V48" s="36">
        <f t="shared" si="32"/>
        <v>4546.9990316937638</v>
      </c>
      <c r="W48" s="36">
        <f t="shared" si="32"/>
        <v>4637.9390123276389</v>
      </c>
      <c r="X48" s="36">
        <f t="shared" si="32"/>
        <v>4730.6977925741912</v>
      </c>
      <c r="Y48" s="36">
        <f t="shared" si="32"/>
        <v>4825.3117484256754</v>
      </c>
      <c r="Z48" s="36">
        <f t="shared" si="32"/>
        <v>4921.8179833941886</v>
      </c>
      <c r="AA48" s="36">
        <f t="shared" si="32"/>
        <v>5020.2543430620726</v>
      </c>
      <c r="AB48" s="36">
        <f t="shared" si="32"/>
        <v>5120.6594299233138</v>
      </c>
      <c r="AC48" s="36">
        <f t="shared" si="32"/>
        <v>5223.0726185217809</v>
      </c>
      <c r="AD48" s="36">
        <f t="shared" si="32"/>
        <v>5327.5340708922158</v>
      </c>
      <c r="AE48" s="36">
        <f t="shared" si="32"/>
        <v>5434.0847523100601</v>
      </c>
      <c r="AF48" s="36">
        <f t="shared" si="32"/>
        <v>5542.76644735626</v>
      </c>
      <c r="AG48" s="36">
        <f t="shared" si="32"/>
        <v>5653.6217763033865</v>
      </c>
      <c r="AH48" s="36">
        <f t="shared" si="32"/>
        <v>5766.6942118294546</v>
      </c>
    </row>
    <row r="49" spans="1:34" ht="11.1" thickBot="1">
      <c r="A49" s="48"/>
      <c r="B49" s="24"/>
      <c r="C49" s="38"/>
      <c r="D49" s="39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  <row r="50" spans="1:34">
      <c r="A50" s="49" t="s">
        <v>33</v>
      </c>
      <c r="B50" s="50"/>
      <c r="C50" s="71">
        <f>C46+C48</f>
        <v>227279</v>
      </c>
      <c r="D50" s="71"/>
      <c r="E50" s="71">
        <f t="shared" ref="E50:AH50" si="33">E46+E48</f>
        <v>237381.70241664001</v>
      </c>
      <c r="F50" s="71">
        <f t="shared" si="33"/>
        <v>248201.78088257281</v>
      </c>
      <c r="G50" s="71">
        <f t="shared" si="33"/>
        <v>248210.70185546268</v>
      </c>
      <c r="H50" s="71">
        <f t="shared" si="33"/>
        <v>255702.02436140028</v>
      </c>
      <c r="I50" s="71">
        <f t="shared" si="33"/>
        <v>285948.15857112693</v>
      </c>
      <c r="J50" s="71">
        <f t="shared" si="33"/>
        <v>271619.44390391023</v>
      </c>
      <c r="K50" s="71">
        <f t="shared" si="33"/>
        <v>277051.83278198843</v>
      </c>
      <c r="L50" s="71">
        <f t="shared" si="33"/>
        <v>282592.86943762813</v>
      </c>
      <c r="M50" s="71">
        <f t="shared" si="33"/>
        <v>288244.72682638076</v>
      </c>
      <c r="N50" s="71">
        <f t="shared" si="33"/>
        <v>294009.62136290834</v>
      </c>
      <c r="O50" s="71">
        <f t="shared" si="33"/>
        <v>299889.81379016658</v>
      </c>
      <c r="P50" s="71">
        <f t="shared" si="33"/>
        <v>305887.61006596975</v>
      </c>
      <c r="Q50" s="71">
        <f t="shared" si="33"/>
        <v>312005.36226728925</v>
      </c>
      <c r="R50" s="71">
        <f t="shared" si="33"/>
        <v>318245.46951263503</v>
      </c>
      <c r="S50" s="71">
        <f t="shared" si="33"/>
        <v>324610.37890288775</v>
      </c>
      <c r="T50" s="71">
        <f t="shared" si="33"/>
        <v>331102.58648094541</v>
      </c>
      <c r="U50" s="71">
        <f t="shared" si="33"/>
        <v>337724.63821056433</v>
      </c>
      <c r="V50" s="71">
        <f t="shared" si="33"/>
        <v>344479.1309747757</v>
      </c>
      <c r="W50" s="71">
        <f t="shared" si="33"/>
        <v>351368.71359427116</v>
      </c>
      <c r="X50" s="71">
        <f t="shared" si="33"/>
        <v>358396.08786615654</v>
      </c>
      <c r="Y50" s="71">
        <f t="shared" si="33"/>
        <v>365564.00962347962</v>
      </c>
      <c r="Z50" s="71">
        <f t="shared" si="33"/>
        <v>372875.28981594933</v>
      </c>
      <c r="AA50" s="71">
        <f t="shared" si="33"/>
        <v>380332.79561226827</v>
      </c>
      <c r="AB50" s="71">
        <f t="shared" si="33"/>
        <v>387939.4515245136</v>
      </c>
      <c r="AC50" s="71">
        <f t="shared" si="33"/>
        <v>395698.24055500398</v>
      </c>
      <c r="AD50" s="71">
        <f t="shared" si="33"/>
        <v>403612.20536610397</v>
      </c>
      <c r="AE50" s="71">
        <f t="shared" si="33"/>
        <v>411684.4494734261</v>
      </c>
      <c r="AF50" s="71">
        <f t="shared" si="33"/>
        <v>419918.13846289454</v>
      </c>
      <c r="AG50" s="71">
        <f t="shared" si="33"/>
        <v>428316.50123215246</v>
      </c>
      <c r="AH50" s="71">
        <f t="shared" si="33"/>
        <v>436882.83125679556</v>
      </c>
    </row>
    <row r="51" spans="1:34">
      <c r="A51" s="51"/>
      <c r="B51" s="24"/>
      <c r="C51" s="52"/>
      <c r="D51" s="52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</row>
    <row r="52" spans="1:34">
      <c r="A52" s="94" t="s">
        <v>34</v>
      </c>
      <c r="B52" s="94"/>
      <c r="C52" s="94"/>
      <c r="D52" s="53"/>
      <c r="E52" s="45">
        <f>F9</f>
        <v>8000000</v>
      </c>
      <c r="F52" s="45">
        <f>E55</f>
        <v>7876981.2998471493</v>
      </c>
      <c r="G52" s="45">
        <f>F55</f>
        <v>7741203.2687400207</v>
      </c>
      <c r="H52" s="45">
        <f>G55</f>
        <v>7603448.9312847555</v>
      </c>
      <c r="I52" s="45">
        <f>H55</f>
        <v>7456097.9560363684</v>
      </c>
      <c r="J52" s="45">
        <f t="shared" ref="J52:AH52" si="34">I55</f>
        <v>7275922.9166246522</v>
      </c>
      <c r="K52" s="45">
        <f t="shared" si="34"/>
        <v>7107670.8291947972</v>
      </c>
      <c r="L52" s="45">
        <f t="shared" si="34"/>
        <v>6931466.3746373001</v>
      </c>
      <c r="M52" s="45">
        <f t="shared" si="34"/>
        <v>6747083.4389125649</v>
      </c>
      <c r="N52" s="45">
        <f t="shared" si="34"/>
        <v>6554290.405185096</v>
      </c>
      <c r="O52" s="45">
        <f t="shared" si="34"/>
        <v>6352850.0294324439</v>
      </c>
      <c r="P52" s="45">
        <f t="shared" si="34"/>
        <v>6142519.313356759</v>
      </c>
      <c r="Q52" s="45">
        <f t="shared" si="34"/>
        <v>5923049.374541929</v>
      </c>
      <c r="R52" s="45">
        <f t="shared" si="34"/>
        <v>5694185.3137981035</v>
      </c>
      <c r="S52" s="45">
        <f t="shared" si="34"/>
        <v>5455666.0796342101</v>
      </c>
      <c r="T52" s="45">
        <f t="shared" si="34"/>
        <v>5207224.3297978081</v>
      </c>
      <c r="U52" s="45">
        <f t="shared" si="34"/>
        <v>4948586.2898203852</v>
      </c>
      <c r="V52" s="45">
        <f t="shared" si="34"/>
        <v>4679471.6085049119</v>
      </c>
      <c r="W52" s="45">
        <f t="shared" si="34"/>
        <v>4399593.2102911519</v>
      </c>
      <c r="X52" s="45">
        <f t="shared" si="34"/>
        <v>4108657.1444329051</v>
      </c>
      <c r="Y52" s="45">
        <f t="shared" si="34"/>
        <v>3806362.4309199573</v>
      </c>
      <c r="Z52" s="45">
        <f t="shared" si="34"/>
        <v>3492400.9030761588</v>
      </c>
      <c r="AA52" s="45">
        <f t="shared" si="34"/>
        <v>3166457.0467636068</v>
      </c>
      <c r="AB52" s="45">
        <f t="shared" si="34"/>
        <v>2828207.8361214548</v>
      </c>
      <c r="AC52" s="45">
        <f t="shared" si="34"/>
        <v>2477322.5657663979</v>
      </c>
      <c r="AD52" s="45">
        <f t="shared" si="34"/>
        <v>2113462.679380367</v>
      </c>
      <c r="AE52" s="45">
        <f t="shared" si="34"/>
        <v>1736281.5946094217</v>
      </c>
      <c r="AF52" s="45">
        <f t="shared" si="34"/>
        <v>1345424.524196255</v>
      </c>
      <c r="AG52" s="45">
        <f t="shared" si="34"/>
        <v>940528.29326712107</v>
      </c>
      <c r="AH52" s="45">
        <f t="shared" si="34"/>
        <v>521221.15269234544</v>
      </c>
    </row>
    <row r="53" spans="1:34">
      <c r="A53" s="94" t="s">
        <v>35</v>
      </c>
      <c r="B53" s="94"/>
      <c r="C53" s="94"/>
      <c r="D53" s="54"/>
      <c r="E53" s="55">
        <f>(E52-E50)*$F$10</f>
        <v>155252.36595166722</v>
      </c>
      <c r="F53" s="55">
        <f>(F52-F50)*$F$10</f>
        <v>152575.59037929153</v>
      </c>
      <c r="G53" s="55">
        <f>(G52-G50)*$F$10</f>
        <v>149859.85133769116</v>
      </c>
      <c r="H53" s="55">
        <f>(H52-H50)*$F$10</f>
        <v>146954.93813846711</v>
      </c>
      <c r="I53" s="55">
        <f>(I52-I50)*$F$10</f>
        <v>143402.99594930484</v>
      </c>
      <c r="J53" s="55">
        <f t="shared" ref="J53:AH53" si="35">(J52-J50)*$F$10</f>
        <v>140086.06945441486</v>
      </c>
      <c r="K53" s="55">
        <f t="shared" si="35"/>
        <v>136612.37992825618</v>
      </c>
      <c r="L53" s="55">
        <f t="shared" si="35"/>
        <v>132977.47010399343</v>
      </c>
      <c r="M53" s="55">
        <f t="shared" si="35"/>
        <v>129176.77424172369</v>
      </c>
      <c r="N53" s="55">
        <f t="shared" si="35"/>
        <v>125205.61567644375</v>
      </c>
      <c r="O53" s="55">
        <f t="shared" si="35"/>
        <v>121059.20431284554</v>
      </c>
      <c r="P53" s="55">
        <f t="shared" si="35"/>
        <v>116732.63406581579</v>
      </c>
      <c r="Q53" s="55">
        <f t="shared" si="35"/>
        <v>112220.88024549279</v>
      </c>
      <c r="R53" s="55">
        <f t="shared" si="35"/>
        <v>107518.79688570938</v>
      </c>
      <c r="S53" s="55">
        <f t="shared" si="35"/>
        <v>102621.11401462645</v>
      </c>
      <c r="T53" s="55">
        <f t="shared" si="35"/>
        <v>97522.434866337251</v>
      </c>
      <c r="U53" s="55">
        <f t="shared" si="35"/>
        <v>92217.233032196425</v>
      </c>
      <c r="V53" s="55">
        <f t="shared" si="35"/>
        <v>86699.84955060271</v>
      </c>
      <c r="W53" s="55">
        <f t="shared" si="35"/>
        <v>80964.489933937613</v>
      </c>
      <c r="X53" s="55">
        <f t="shared" si="35"/>
        <v>75005.221131334984</v>
      </c>
      <c r="Y53" s="55">
        <f t="shared" si="35"/>
        <v>68815.968425929561</v>
      </c>
      <c r="Z53" s="55">
        <f t="shared" si="35"/>
        <v>62390.51226520419</v>
      </c>
      <c r="AA53" s="55">
        <f t="shared" si="35"/>
        <v>55722.485023026777</v>
      </c>
      <c r="AB53" s="55">
        <f t="shared" si="35"/>
        <v>48805.367691938824</v>
      </c>
      <c r="AC53" s="55">
        <f t="shared" si="35"/>
        <v>41632.486504227876</v>
      </c>
      <c r="AD53" s="55">
        <f t="shared" si="35"/>
        <v>34197.009480285262</v>
      </c>
      <c r="AE53" s="55">
        <f t="shared" si="35"/>
        <v>26491.942902719911</v>
      </c>
      <c r="AF53" s="55">
        <f t="shared" si="35"/>
        <v>18510.127714667207</v>
      </c>
      <c r="AG53" s="55">
        <f t="shared" si="35"/>
        <v>10244.235840699372</v>
      </c>
      <c r="AH53" s="55">
        <f t="shared" si="35"/>
        <v>1686.7664287109976</v>
      </c>
    </row>
    <row r="54" spans="1:34">
      <c r="A54" s="11"/>
      <c r="B54" s="11"/>
      <c r="C54" s="72" t="s">
        <v>36</v>
      </c>
      <c r="D54" s="54"/>
      <c r="E54" s="56">
        <f>(E53-E48)*0.269</f>
        <v>40889.363687878489</v>
      </c>
      <c r="F54" s="56">
        <f>(F53-F48)*0.269</f>
        <v>40151.840603847028</v>
      </c>
      <c r="G54" s="56">
        <f>(G53-G48)*0.269</f>
        <v>39403.486937492875</v>
      </c>
      <c r="H54" s="56">
        <f>(H53-H48)*0.269</f>
        <v>38603.889025454686</v>
      </c>
      <c r="I54" s="56">
        <f>(I53-I48)*0.269</f>
        <v>37629.876789894173</v>
      </c>
      <c r="J54" s="56">
        <f t="shared" ref="J54:AH54" si="36">(J53-J48)*0.269</f>
        <v>36718.712980359393</v>
      </c>
      <c r="K54" s="56">
        <f t="shared" si="36"/>
        <v>35765.001703765149</v>
      </c>
      <c r="L54" s="56">
        <f t="shared" si="36"/>
        <v>34767.536391099748</v>
      </c>
      <c r="M54" s="56">
        <f t="shared" si="36"/>
        <v>33725.081142811701</v>
      </c>
      <c r="N54" s="56">
        <f t="shared" si="36"/>
        <v>32636.370066187155</v>
      </c>
      <c r="O54" s="56">
        <f t="shared" si="36"/>
        <v>31500.106598363716</v>
      </c>
      <c r="P54" s="56">
        <f t="shared" si="36"/>
        <v>30314.962814676877</v>
      </c>
      <c r="Q54" s="56">
        <f t="shared" si="36"/>
        <v>29079.578722029441</v>
      </c>
      <c r="R54" s="56">
        <f t="shared" si="36"/>
        <v>27792.56153696754</v>
      </c>
      <c r="S54" s="56">
        <f t="shared" si="36"/>
        <v>26452.484948140464</v>
      </c>
      <c r="T54" s="56">
        <f t="shared" si="36"/>
        <v>25057.888362814789</v>
      </c>
      <c r="U54" s="56">
        <f t="shared" si="36"/>
        <v>23607.276137106306</v>
      </c>
      <c r="V54" s="56">
        <f t="shared" si="36"/>
        <v>22099.116789586507</v>
      </c>
      <c r="W54" s="56">
        <f t="shared" si="36"/>
        <v>20531.842197913084</v>
      </c>
      <c r="X54" s="56">
        <f t="shared" si="36"/>
        <v>18903.846778126652</v>
      </c>
      <c r="Y54" s="56">
        <f t="shared" si="36"/>
        <v>17213.486646248548</v>
      </c>
      <c r="Z54" s="56">
        <f t="shared" si="36"/>
        <v>15459.078761806892</v>
      </c>
      <c r="AA54" s="56">
        <f t="shared" si="36"/>
        <v>13638.900052910507</v>
      </c>
      <c r="AB54" s="56">
        <f t="shared" si="36"/>
        <v>11751.186522482174</v>
      </c>
      <c r="AC54" s="56">
        <f t="shared" si="36"/>
        <v>9794.1323352549407</v>
      </c>
      <c r="AD54" s="56">
        <f t="shared" si="36"/>
        <v>7765.8888851267302</v>
      </c>
      <c r="AE54" s="56">
        <f t="shared" si="36"/>
        <v>5664.5638424602503</v>
      </c>
      <c r="AF54" s="56">
        <f t="shared" si="36"/>
        <v>3488.2201809066451</v>
      </c>
      <c r="AG54" s="56">
        <f t="shared" si="36"/>
        <v>1234.8751833225201</v>
      </c>
      <c r="AH54" s="56">
        <f t="shared" si="36"/>
        <v>-1097.5005736588651</v>
      </c>
    </row>
    <row r="55" spans="1:34">
      <c r="A55" s="94" t="s">
        <v>37</v>
      </c>
      <c r="B55" s="94"/>
      <c r="C55" s="94"/>
      <c r="D55" s="54"/>
      <c r="E55" s="55">
        <f>E52-E50+E53-E54</f>
        <v>7876981.2998471493</v>
      </c>
      <c r="F55" s="55">
        <f>F52-F50+F53-F54</f>
        <v>7741203.2687400207</v>
      </c>
      <c r="G55" s="55">
        <f>G52-G50+G53-G54</f>
        <v>7603448.9312847555</v>
      </c>
      <c r="H55" s="55">
        <f>H52-H50+H53-H54</f>
        <v>7456097.9560363684</v>
      </c>
      <c r="I55" s="55">
        <f>I52-I50+I53-I54</f>
        <v>7275922.9166246522</v>
      </c>
      <c r="J55" s="55">
        <f t="shared" ref="J55:AH55" si="37">J52-J50+J53-J54</f>
        <v>7107670.8291947972</v>
      </c>
      <c r="K55" s="55">
        <f t="shared" si="37"/>
        <v>6931466.3746373001</v>
      </c>
      <c r="L55" s="55">
        <f t="shared" si="37"/>
        <v>6747083.4389125649</v>
      </c>
      <c r="M55" s="55">
        <f t="shared" si="37"/>
        <v>6554290.405185096</v>
      </c>
      <c r="N55" s="55">
        <f t="shared" si="37"/>
        <v>6352850.0294324439</v>
      </c>
      <c r="O55" s="55">
        <f t="shared" si="37"/>
        <v>6142519.313356759</v>
      </c>
      <c r="P55" s="55">
        <f t="shared" si="37"/>
        <v>5923049.374541929</v>
      </c>
      <c r="Q55" s="55">
        <f t="shared" si="37"/>
        <v>5694185.3137981035</v>
      </c>
      <c r="R55" s="55">
        <f t="shared" si="37"/>
        <v>5455666.0796342101</v>
      </c>
      <c r="S55" s="55">
        <f t="shared" si="37"/>
        <v>5207224.3297978081</v>
      </c>
      <c r="T55" s="55">
        <f t="shared" si="37"/>
        <v>4948586.2898203852</v>
      </c>
      <c r="U55" s="55">
        <f t="shared" si="37"/>
        <v>4679471.6085049119</v>
      </c>
      <c r="V55" s="55">
        <f t="shared" si="37"/>
        <v>4399593.2102911519</v>
      </c>
      <c r="W55" s="55">
        <f t="shared" si="37"/>
        <v>4108657.1444329051</v>
      </c>
      <c r="X55" s="55">
        <f t="shared" si="37"/>
        <v>3806362.4309199573</v>
      </c>
      <c r="Y55" s="55">
        <f t="shared" si="37"/>
        <v>3492400.9030761588</v>
      </c>
      <c r="Z55" s="55">
        <f t="shared" si="37"/>
        <v>3166457.0467636068</v>
      </c>
      <c r="AA55" s="55">
        <f t="shared" si="37"/>
        <v>2828207.8361214548</v>
      </c>
      <c r="AB55" s="55">
        <f t="shared" si="37"/>
        <v>2477322.5657663979</v>
      </c>
      <c r="AC55" s="55">
        <f t="shared" si="37"/>
        <v>2113462.679380367</v>
      </c>
      <c r="AD55" s="55">
        <f t="shared" si="37"/>
        <v>1736281.5946094217</v>
      </c>
      <c r="AE55" s="55">
        <f t="shared" si="37"/>
        <v>1345424.524196255</v>
      </c>
      <c r="AF55" s="55">
        <f t="shared" si="37"/>
        <v>940528.29326712107</v>
      </c>
      <c r="AG55" s="55">
        <f t="shared" si="37"/>
        <v>521221.15269234544</v>
      </c>
      <c r="AH55" s="55">
        <f t="shared" si="37"/>
        <v>87122.588437919738</v>
      </c>
    </row>
  </sheetData>
  <mergeCells count="9">
    <mergeCell ref="B3:J4"/>
    <mergeCell ref="K5:N7"/>
    <mergeCell ref="O5:P7"/>
    <mergeCell ref="A55:C55"/>
    <mergeCell ref="C11:C13"/>
    <mergeCell ref="A52:C52"/>
    <mergeCell ref="A53:C53"/>
    <mergeCell ref="H7:H10"/>
    <mergeCell ref="I7:I10"/>
  </mergeCells>
  <pageMargins left="0.70866141732283472" right="0.70866141732283472" top="0.55118110236220474" bottom="0.74803149606299213" header="0.11811023622047245" footer="0.31496062992125984"/>
  <pageSetup paperSize="5" scale="83" fitToWidth="2" orientation="landscape" r:id="rId1"/>
  <headerFooter>
    <oddFooter>&amp;L&amp;9Ministère de l'Environnement et de la Lutte contre les changements climatiques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"/>
  <sheetViews>
    <sheetView zoomScaleNormal="100" workbookViewId="0">
      <selection activeCell="D5" sqref="D5"/>
    </sheetView>
  </sheetViews>
  <sheetFormatPr defaultColWidth="11.42578125" defaultRowHeight="14.45"/>
  <cols>
    <col min="1" max="1" width="34.140625" style="2" customWidth="1"/>
    <col min="2" max="6" width="20.7109375" customWidth="1"/>
    <col min="7" max="10" width="15.7109375" customWidth="1"/>
  </cols>
  <sheetData>
    <row r="1" spans="1:6" ht="46.5" customHeight="1">
      <c r="A1" s="104" t="s">
        <v>38</v>
      </c>
      <c r="B1" s="104"/>
      <c r="C1" s="104"/>
      <c r="D1" s="104"/>
      <c r="E1" s="104"/>
      <c r="F1" s="104"/>
    </row>
    <row r="2" spans="1:6" ht="27.95" customHeight="1"/>
    <row r="3" spans="1:6" s="2" customFormat="1">
      <c r="A3" s="2" t="s">
        <v>9</v>
      </c>
      <c r="B3" s="2">
        <v>1</v>
      </c>
      <c r="C3" s="2">
        <f>B3+1</f>
        <v>2</v>
      </c>
      <c r="D3" s="2">
        <f t="shared" ref="D3:F3" si="0">C3+1</f>
        <v>3</v>
      </c>
      <c r="E3" s="2">
        <f t="shared" si="0"/>
        <v>4</v>
      </c>
      <c r="F3" s="2">
        <f t="shared" si="0"/>
        <v>5</v>
      </c>
    </row>
    <row r="4" spans="1:6">
      <c r="A4" s="2" t="s">
        <v>39</v>
      </c>
      <c r="C4" t="s">
        <v>40</v>
      </c>
      <c r="D4" t="s">
        <v>41</v>
      </c>
      <c r="E4" t="s">
        <v>42</v>
      </c>
      <c r="F4" t="s">
        <v>43</v>
      </c>
    </row>
    <row r="5" spans="1:6">
      <c r="A5" s="2" t="s">
        <v>44</v>
      </c>
      <c r="B5" s="1">
        <v>0</v>
      </c>
      <c r="C5" s="1">
        <v>5000</v>
      </c>
      <c r="D5" s="1">
        <v>1000</v>
      </c>
      <c r="E5" s="1">
        <v>3000</v>
      </c>
      <c r="F5" s="1">
        <v>22500</v>
      </c>
    </row>
    <row r="6" spans="1:6">
      <c r="A6" s="2" t="s">
        <v>45</v>
      </c>
      <c r="B6" s="1"/>
      <c r="C6" s="1"/>
      <c r="D6" s="1"/>
      <c r="E6" s="1"/>
      <c r="F6" s="1"/>
    </row>
    <row r="7" spans="1:6">
      <c r="A7" s="2" t="s">
        <v>44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6">
      <c r="A8" s="2" t="s">
        <v>46</v>
      </c>
      <c r="B8" s="1"/>
      <c r="C8" s="1"/>
      <c r="D8" s="1"/>
      <c r="E8" s="1"/>
      <c r="F8" s="1"/>
    </row>
    <row r="9" spans="1:6" ht="15" thickBot="1">
      <c r="A9" s="4" t="s">
        <v>44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s="2" customFormat="1" ht="15" thickTop="1">
      <c r="A10" s="2" t="s">
        <v>47</v>
      </c>
      <c r="B10" s="3">
        <f>B5+B7+B9</f>
        <v>0</v>
      </c>
      <c r="C10" s="3">
        <f>C5+C7+C9</f>
        <v>5000</v>
      </c>
      <c r="D10" s="3">
        <f t="shared" ref="D10:F10" si="1">D5+D7+D9</f>
        <v>1000</v>
      </c>
      <c r="E10" s="3">
        <f t="shared" si="1"/>
        <v>3000</v>
      </c>
      <c r="F10" s="3">
        <f t="shared" si="1"/>
        <v>22500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&amp;L&amp;9Ministère de l'Environnement et de la Lutte contre les changements climatiques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8F1147A4CDC4488B4376331AD2166" ma:contentTypeVersion="23" ma:contentTypeDescription="Crée un document." ma:contentTypeScope="" ma:versionID="b88279d569650fe73434081ed96304d2">
  <xsd:schema xmlns:xsd="http://www.w3.org/2001/XMLSchema" xmlns:xs="http://www.w3.org/2001/XMLSchema" xmlns:p="http://schemas.microsoft.com/office/2006/metadata/properties" xmlns:ns2="a3d363c2-ac57-4088-9970-e55a9ff5228c" xmlns:ns3="41851184-4b28-4196-a3fe-31116a3345ac" targetNamespace="http://schemas.microsoft.com/office/2006/metadata/properties" ma:root="true" ma:fieldsID="a377243a9e6afd0e26948cd3185f0144" ns2:_="" ns3:_="">
    <xsd:import namespace="a3d363c2-ac57-4088-9970-e55a9ff5228c"/>
    <xsd:import namespace="41851184-4b28-4196-a3fe-31116a3345ac"/>
    <xsd:element name="properties">
      <xsd:complexType>
        <xsd:sequence>
          <xsd:element name="documentManagement">
            <xsd:complexType>
              <xsd:all>
                <xsd:element ref="ns2:Commentaires" minOccurs="0"/>
                <xsd:element ref="ns2:Mots_x002d_cl_x00e9_s" minOccurs="0"/>
                <xsd:element ref="ns2:Suivi" minOccurs="0"/>
                <xsd:element ref="ns2:_Flow_SignoffStatus" minOccurs="0"/>
                <xsd:element ref="ns2:_x00c9_tatdudocu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363c2-ac57-4088-9970-e55a9ff5228c" elementFormDefault="qualified">
    <xsd:import namespace="http://schemas.microsoft.com/office/2006/documentManagement/types"/>
    <xsd:import namespace="http://schemas.microsoft.com/office/infopath/2007/PartnerControls"/>
    <xsd:element name="Commentaires" ma:index="2" nillable="true" ma:displayName="Commentaires" ma:internalName="Commentaires" ma:readOnly="false">
      <xsd:simpleType>
        <xsd:restriction base="dms:Text">
          <xsd:maxLength value="255"/>
        </xsd:restriction>
      </xsd:simpleType>
    </xsd:element>
    <xsd:element name="Mots_x002d_cl_x00e9_s" ma:index="3" nillable="true" ma:displayName="Mots-clés" ma:format="RadioButtons" ma:internalName="Mots_x002d_cl_x00e9_s" ma:readOnly="false">
      <xsd:simpleType>
        <xsd:restriction base="dms:Choice">
          <xsd:enumeration value="Calendrier de conservation"/>
          <xsd:enumeration value="Plan de classification"/>
          <xsd:enumeration value="Microsoft 365"/>
          <xsd:enumeration value="Documents"/>
        </xsd:restriction>
      </xsd:simpleType>
    </xsd:element>
    <xsd:element name="Suivi" ma:index="4" nillable="true" ma:displayName="Suivi" ma:description="Endroit pour y mettre des commentaires" ma:format="Dropdown" ma:internalName="Suivi" ma:readOnly="false">
      <xsd:simpleType>
        <xsd:restriction base="dms:Note">
          <xsd:maxLength value="255"/>
        </xsd:restriction>
      </xsd:simpleType>
    </xsd:element>
    <xsd:element name="_Flow_SignoffStatus" ma:index="5" nillable="true" ma:displayName="État de validation" ma:internalName="_x00c9_tat_x0020_de_x0020_validation" ma:readOnly="false">
      <xsd:simpleType>
        <xsd:restriction base="dms:Text"/>
      </xsd:simpleType>
    </xsd:element>
    <xsd:element name="_x00c9_tatdudocument" ma:index="6" nillable="true" ma:displayName="État du document" ma:default="En cours" ma:format="Dropdown" ma:internalName="_x00c9_tatdudocument" ma:readOnly="false">
      <xsd:simpleType>
        <xsd:restriction base="dms:Choice">
          <xsd:enumeration value="En cours"/>
          <xsd:enumeration value="Final"/>
          <xsd:enumeration value="À transférer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51184-4b28-4196-a3fe-31116a3345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ivi xmlns="a3d363c2-ac57-4088-9970-e55a9ff5228c" xsi:nil="true"/>
    <_x00c9_tatdudocument xmlns="a3d363c2-ac57-4088-9970-e55a9ff5228c">En cours</_x00c9_tatdudocument>
    <Commentaires xmlns="a3d363c2-ac57-4088-9970-e55a9ff5228c" xsi:nil="true"/>
    <_Flow_SignoffStatus xmlns="a3d363c2-ac57-4088-9970-e55a9ff5228c" xsi:nil="true"/>
    <Mots_x002d_cl_x00e9_s xmlns="a3d363c2-ac57-4088-9970-e55a9ff5228c" xsi:nil="true"/>
  </documentManagement>
</p:properties>
</file>

<file path=customXml/itemProps1.xml><?xml version="1.0" encoding="utf-8"?>
<ds:datastoreItem xmlns:ds="http://schemas.openxmlformats.org/officeDocument/2006/customXml" ds:itemID="{3D42104F-94A8-4A0E-8E5B-5B63547B0F4D}"/>
</file>

<file path=customXml/itemProps2.xml><?xml version="1.0" encoding="utf-8"?>
<ds:datastoreItem xmlns:ds="http://schemas.openxmlformats.org/officeDocument/2006/customXml" ds:itemID="{4D1C33E4-3E21-4F36-B9AB-C0E3C71E267B}"/>
</file>

<file path=customXml/itemProps3.xml><?xml version="1.0" encoding="utf-8"?>
<ds:datastoreItem xmlns:ds="http://schemas.openxmlformats.org/officeDocument/2006/customXml" ds:itemID="{C8B41597-A1A1-4BBF-A7B2-E9F749306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MDDELCC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Vachon, Patrice</dc:creator>
  <cp:keywords/>
  <dc:description/>
  <cp:lastModifiedBy>Ruel, Patrice</cp:lastModifiedBy>
  <cp:revision/>
  <dcterms:created xsi:type="dcterms:W3CDTF">2017-03-09T21:37:56Z</dcterms:created>
  <dcterms:modified xsi:type="dcterms:W3CDTF">2022-01-20T19:18:22Z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0x01010030B8F1147A4CDC4488B4376331AD2166</vt:lpwstr>
  </property>
</Properties>
</file>