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Truan02\AppData\Local\Microsoft\Windows\INetCache\Content.Outlook\MQS40ND5\"/>
    </mc:Choice>
  </mc:AlternateContent>
  <xr:revisionPtr revIDLastSave="0" documentId="13_ncr:1_{3F4CDD25-F855-481D-96DB-1EDC69A2CB30}" xr6:coauthVersionLast="47" xr6:coauthVersionMax="47" xr10:uidLastSave="{00000000-0000-0000-0000-000000000000}"/>
  <bookViews>
    <workbookView xWindow="-108" yWindow="-108" windowWidth="23256" windowHeight="12576" tabRatio="638" xr2:uid="{FBC39C38-EE68-46BE-BA80-31634BD92FBE}"/>
  </bookViews>
  <sheets>
    <sheet name="Informations" sheetId="5" r:id="rId1"/>
    <sheet name="Équations" sheetId="9" r:id="rId2"/>
    <sheet name="Données sectorielles" sheetId="14" state="hidden" r:id="rId3"/>
    <sheet name="Calculs" sheetId="1" r:id="rId4"/>
  </sheets>
  <definedNames>
    <definedName name="Activité">#REF!</definedName>
    <definedName name="Assujettissement">#REF!</definedName>
    <definedName name="Traitement">#REF!</definedName>
    <definedName name="_xlnm.Print_Area" localSheetId="3">Calculs!$B$1:$N$86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D13" i="1" a="1"/>
  <c r="D13" i="1" s="1"/>
  <c r="C7" i="1" s="1" a="1"/>
  <c r="C7" i="1" s="1"/>
  <c r="C11" i="1" l="1"/>
  <c r="F28" i="1"/>
  <c r="D29" i="1" a="1"/>
  <c r="D29" i="1" s="1"/>
  <c r="D30" i="1" s="1" a="1"/>
  <c r="D30" i="1" s="1"/>
  <c r="E29" i="1" a="1"/>
  <c r="E29" i="1" s="1"/>
  <c r="E30" i="1" s="1" a="1"/>
  <c r="E30" i="1" s="1"/>
  <c r="G29" i="1" a="1"/>
  <c r="G29" i="1" s="1"/>
  <c r="G30" i="1" s="1" a="1"/>
  <c r="G30" i="1" s="1"/>
  <c r="H29" i="1" a="1"/>
  <c r="H29" i="1" s="1"/>
  <c r="H30" i="1" s="1" a="1"/>
  <c r="H30" i="1" s="1"/>
  <c r="I29" i="1" a="1"/>
  <c r="I29" i="1" s="1"/>
  <c r="I30" i="1" s="1" a="1"/>
  <c r="I30" i="1" s="1"/>
  <c r="J29" i="1" a="1"/>
  <c r="J29" i="1" s="1"/>
  <c r="J30" i="1" s="1" a="1"/>
  <c r="J30" i="1" s="1"/>
  <c r="K29" i="1" a="1"/>
  <c r="K29" i="1" s="1"/>
  <c r="K30" i="1" s="1" a="1"/>
  <c r="K30" i="1" s="1"/>
  <c r="F29" i="1" a="1"/>
  <c r="F29" i="1" s="1"/>
  <c r="F30" i="1" s="1" a="1"/>
  <c r="F30" i="1" s="1"/>
  <c r="E28" i="1"/>
  <c r="D28" i="1"/>
  <c r="C28" i="1" a="1"/>
  <c r="C28" i="1" s="1"/>
  <c r="F36" i="1"/>
  <c r="G36" i="1"/>
  <c r="H36" i="1"/>
  <c r="I36" i="1"/>
  <c r="J36" i="1"/>
  <c r="K36" i="1"/>
  <c r="E36" i="1"/>
  <c r="E33" i="1"/>
  <c r="F33" i="1"/>
  <c r="G33" i="1"/>
  <c r="H33" i="1"/>
  <c r="I33" i="1"/>
  <c r="J33" i="1"/>
  <c r="K33" i="1"/>
  <c r="D33" i="1"/>
  <c r="D27" i="1" a="1"/>
  <c r="D27" i="1" s="1"/>
  <c r="D63" i="1"/>
  <c r="C59" i="1"/>
  <c r="C63" i="1"/>
  <c r="C64" i="1"/>
  <c r="E23" i="1"/>
  <c r="E24" i="1" s="1"/>
  <c r="F23" i="1"/>
  <c r="F24" i="1" s="1"/>
  <c r="G23" i="1"/>
  <c r="G24" i="1" s="1"/>
  <c r="H23" i="1"/>
  <c r="H24" i="1" s="1"/>
  <c r="I23" i="1"/>
  <c r="I24" i="1" s="1"/>
  <c r="J23" i="1"/>
  <c r="J24" i="1" s="1"/>
  <c r="K23" i="1"/>
  <c r="K24" i="1" s="1"/>
  <c r="D23" i="1"/>
  <c r="D24" i="1" s="1"/>
  <c r="E27" i="1" l="1" a="1"/>
  <c r="E27" i="1" s="1"/>
  <c r="F27" i="1" s="1" a="1"/>
  <c r="F27" i="1" s="1"/>
  <c r="G27" i="1" s="1" a="1"/>
  <c r="G27" i="1" s="1"/>
  <c r="H27" i="1" s="1" a="1"/>
  <c r="H27" i="1" s="1"/>
  <c r="I27" i="1" s="1" a="1"/>
  <c r="I27" i="1" s="1"/>
  <c r="J27" i="1" s="1" a="1"/>
  <c r="J27" i="1" s="1"/>
  <c r="K27" i="1" s="1" a="1"/>
  <c r="K27" i="1" s="1"/>
  <c r="J28" i="1"/>
  <c r="I28" i="1"/>
  <c r="K28" i="1"/>
  <c r="H28" i="1"/>
  <c r="G28" i="1"/>
  <c r="K38" i="1"/>
  <c r="G38" i="1"/>
  <c r="F38" i="1"/>
  <c r="E38" i="1"/>
  <c r="J38" i="1"/>
  <c r="I38" i="1"/>
  <c r="H38" i="1"/>
  <c r="K63" i="1" l="1"/>
  <c r="K60" i="1"/>
  <c r="K59" i="1"/>
  <c r="F37" i="1"/>
  <c r="F34" i="1"/>
  <c r="G34" i="1"/>
  <c r="H34" i="1"/>
  <c r="I34" i="1"/>
  <c r="J34" i="1"/>
  <c r="K34" i="1"/>
  <c r="E34" i="1"/>
  <c r="G37" i="1"/>
  <c r="H37" i="1"/>
  <c r="I37" i="1"/>
  <c r="J37" i="1"/>
  <c r="K37" i="1"/>
  <c r="E37" i="1"/>
  <c r="E39" i="1" s="1"/>
  <c r="F32" i="1"/>
  <c r="G32" i="1"/>
  <c r="H32" i="1"/>
  <c r="I32" i="1"/>
  <c r="J32" i="1"/>
  <c r="K32" i="1"/>
  <c r="J41" i="1"/>
  <c r="I41" i="1"/>
  <c r="H41" i="1"/>
  <c r="G41" i="1"/>
  <c r="F41" i="1"/>
  <c r="E41" i="1"/>
  <c r="D44" i="1" l="1"/>
  <c r="E43" i="1"/>
  <c r="F39" i="1"/>
  <c r="G39" i="1" s="1"/>
  <c r="H39" i="1" s="1"/>
  <c r="I39" i="1" s="1"/>
  <c r="J39" i="1" s="1"/>
  <c r="K39" i="1" s="1"/>
  <c r="D49" i="1" l="1"/>
  <c r="D50" i="1"/>
  <c r="F44" i="1"/>
  <c r="F43" i="1"/>
  <c r="E44" i="1"/>
  <c r="E50" i="1" l="1"/>
  <c r="E49" i="1"/>
  <c r="F49" i="1"/>
  <c r="F50" i="1"/>
  <c r="G43" i="1"/>
  <c r="G44" i="1"/>
  <c r="G50" i="1" l="1"/>
  <c r="G49" i="1"/>
  <c r="H44" i="1"/>
  <c r="H43" i="1"/>
  <c r="H50" i="1" l="1"/>
  <c r="H49" i="1"/>
  <c r="I43" i="1"/>
  <c r="I44" i="1"/>
  <c r="K25" i="1"/>
  <c r="I50" i="1" l="1"/>
  <c r="I49" i="1"/>
  <c r="L60" i="1"/>
  <c r="J43" i="1"/>
  <c r="J44" i="1"/>
  <c r="D25" i="1"/>
  <c r="E25" i="1"/>
  <c r="F25" i="1"/>
  <c r="G25" i="1"/>
  <c r="H25" i="1"/>
  <c r="I25" i="1"/>
  <c r="J25" i="1"/>
  <c r="L59" i="1" l="1"/>
  <c r="J49" i="1"/>
  <c r="J50" i="1"/>
  <c r="K44" i="1"/>
  <c r="K43" i="1"/>
  <c r="D55" i="1"/>
  <c r="D53" i="1"/>
  <c r="D54" i="1" s="1"/>
  <c r="L63" i="1" l="1"/>
  <c r="K49" i="1"/>
  <c r="K50" i="1"/>
  <c r="E45" i="1"/>
  <c r="E47" i="1" s="1"/>
  <c r="E53" i="1" l="1"/>
  <c r="E55" i="1"/>
  <c r="E56" i="1"/>
  <c r="F45" i="1"/>
  <c r="F47" i="1" s="1"/>
  <c r="F55" i="1" l="1"/>
  <c r="F53" i="1"/>
  <c r="E54" i="1"/>
  <c r="F56" i="1"/>
  <c r="G45" i="1"/>
  <c r="G47" i="1" s="1"/>
  <c r="G53" i="1" l="1"/>
  <c r="G55" i="1"/>
  <c r="F54" i="1"/>
  <c r="G56" i="1"/>
  <c r="H45" i="1"/>
  <c r="H47" i="1" s="1"/>
  <c r="H55" i="1" l="1"/>
  <c r="H53" i="1"/>
  <c r="H54" i="1" s="1"/>
  <c r="G54" i="1"/>
  <c r="H56" i="1"/>
  <c r="I45" i="1"/>
  <c r="I47" i="1" s="1"/>
  <c r="I53" i="1" l="1"/>
  <c r="I54" i="1" s="1"/>
  <c r="I55" i="1"/>
  <c r="J55" i="1"/>
  <c r="J53" i="1"/>
  <c r="J54" i="1" s="1"/>
  <c r="I56" i="1"/>
  <c r="J45" i="1"/>
  <c r="L47" i="1" s="1"/>
  <c r="L56" i="1" s="1"/>
  <c r="K45" i="1" l="1"/>
  <c r="J47" i="1"/>
  <c r="J56" i="1" s="1"/>
  <c r="K55" i="1" l="1"/>
  <c r="D60" i="1" s="1"/>
  <c r="K53" i="1"/>
  <c r="D64" i="1" s="1"/>
  <c r="K47" i="1"/>
  <c r="K56" i="1" s="1"/>
  <c r="M47" i="1"/>
  <c r="M56" i="1" s="1"/>
  <c r="D59" i="1" l="1"/>
  <c r="D61" i="1"/>
  <c r="K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Rosan, Yann</author>
  </authors>
  <commentList>
    <comment ref="C47" authorId="0" shapeId="0" xr:uid="{AB750F56-115B-4647-A2B1-B3159E8A8B7B}">
      <text>
        <r>
          <rPr>
            <sz val="9"/>
            <color indexed="81"/>
            <rFont val="Tahoma"/>
            <family val="2"/>
          </rPr>
          <t>Unités vendues aux enchères pour l'année i :
75 % vendues au cours de l'année i
25 % vendues au cours de l'année i+2 (calculés au cours de l'année i+1)</t>
        </r>
      </text>
    </comment>
    <comment ref="C53" authorId="0" shapeId="0" xr:uid="{48A9E0E3-DA69-44E7-8F51-992A26CFA80E}">
      <text>
        <r>
          <rPr>
            <sz val="9"/>
            <color indexed="81"/>
            <rFont val="Tahoma"/>
            <family val="2"/>
          </rPr>
          <t>Correspond à la différence entre les émissions à couvrir et l'allocation gratuite versée à l'émetteur.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<sst xmlns="http://schemas.openxmlformats.org/spreadsheetml/2006/main" count="85" uniqueCount="76">
  <si>
    <t>Avertissements</t>
  </si>
  <si>
    <r>
      <t>Pour toute information ou commentaire, veuillez communiquer a</t>
    </r>
    <r>
      <rPr>
        <sz val="14"/>
        <rFont val="Calibri"/>
        <family val="2"/>
        <scheme val="minor"/>
      </rPr>
      <t>vec la Di</t>
    </r>
    <r>
      <rPr>
        <sz val="14"/>
        <color theme="1"/>
        <rFont val="Calibri"/>
        <family val="2"/>
        <scheme val="minor"/>
      </rPr>
      <t xml:space="preserve">rection du marché du carbone à l'adresse </t>
    </r>
    <r>
      <rPr>
        <b/>
        <sz val="14"/>
        <color rgb="FF00B050"/>
        <rFont val="Calibri"/>
        <family val="2"/>
        <scheme val="minor"/>
      </rPr>
      <t>dmc.industries@environnement.gouv.qc.ca</t>
    </r>
    <r>
      <rPr>
        <sz val="14"/>
        <color theme="1"/>
        <rFont val="Calibri"/>
        <family val="2"/>
        <scheme val="minor"/>
      </rPr>
      <t>.</t>
    </r>
  </si>
  <si>
    <t>Fonctionnement de l'outil de calcul</t>
  </si>
  <si>
    <t>Les informations propres à votre établissement doivent être ajoutées dans les cases jaunes.</t>
  </si>
  <si>
    <t>Les informations concernant la tarification du carbone (votre projection des prix annuels des droits d'émission vendus aux enchères) doivent être ajoutées dans les cases orange.</t>
  </si>
  <si>
    <t>Les intensités cibles sont arrondies à 4 chiffres significatifs.</t>
  </si>
  <si>
    <t>Les valeurs de certains paramètres sont indiquées en points de pourcentage (pp) afin de faciliter la lecture, alors qu'elles sont indiquées sans unité dans le règlement (par exemple : 0,272 pp au lieu de 0,00272).</t>
  </si>
  <si>
    <t xml:space="preserve"> Informations concernant l'établissement assujetti</t>
  </si>
  <si>
    <t xml:space="preserve"> Informations concernant la tarification du carbone</t>
  </si>
  <si>
    <t>Situations particulières concernant les établissements nouvellement mis en exploitation et les nouveaux émetteurs assujettis.</t>
  </si>
  <si>
    <t>Activités</t>
  </si>
  <si>
    <t>Niveau de risque</t>
  </si>
  <si>
    <t>Facteur d'assistance</t>
  </si>
  <si>
    <t>Intensité cible 2023</t>
  </si>
  <si>
    <t>Aluminium liquide</t>
  </si>
  <si>
    <t>Niveau 5</t>
  </si>
  <si>
    <t>Anodes précuites</t>
  </si>
  <si>
    <t>Chaux calcique</t>
  </si>
  <si>
    <t>Niveau 7</t>
  </si>
  <si>
    <t>Chaux dolomitique</t>
  </si>
  <si>
    <t>Ciment</t>
  </si>
  <si>
    <t>Paramètres</t>
  </si>
  <si>
    <t xml:space="preserve">Traitement : </t>
  </si>
  <si>
    <t xml:space="preserve">Activité : </t>
  </si>
  <si>
    <t xml:space="preserve">Année de début de l'assujettissement : </t>
  </si>
  <si>
    <t xml:space="preserve">Établissement nouvellement mis en exploitation : </t>
  </si>
  <si>
    <t xml:space="preserve">Année de mise en exploitation : </t>
  </si>
  <si>
    <t xml:space="preserve">Établissement raccordé au réseau électrique : </t>
  </si>
  <si>
    <t xml:space="preserve">Niveau de risque : </t>
  </si>
  <si>
    <t xml:space="preserve"> (voir tableau 7 de l'annexe C de la partie II du RSPEDE)</t>
  </si>
  <si>
    <t xml:space="preserve">Facteur d'assistance : </t>
  </si>
  <si>
    <t xml:space="preserve">Année </t>
  </si>
  <si>
    <t xml:space="preserve">Émissions fixes de procédés (tm éq. CO2) </t>
  </si>
  <si>
    <t xml:space="preserve">Émissions de combustion (tm éq. CO2) </t>
  </si>
  <si>
    <t xml:space="preserve">Émissions autres (tm éq. CO2) </t>
  </si>
  <si>
    <t xml:space="preserve">Production (quantité d'unités étalons) </t>
  </si>
  <si>
    <t xml:space="preserve">Consommation énergétique (GJ) </t>
  </si>
  <si>
    <t xml:space="preserve">Émissions totales de GES (tm éq. CO2) </t>
  </si>
  <si>
    <t xml:space="preserve">Proportion des émissions fixes de procédés (%) </t>
  </si>
  <si>
    <t xml:space="preserve">Intensité réelle (tm éq. CO2 / unité étalon) </t>
  </si>
  <si>
    <r>
      <t>Intensité cible (tm éq. CO</t>
    </r>
    <r>
      <rPr>
        <vertAlign val="subscript"/>
        <sz val="12"/>
        <color theme="1"/>
        <rFont val="Calibri"/>
        <family val="2"/>
        <scheme val="minor"/>
      </rPr>
      <t>2</t>
    </r>
    <r>
      <rPr>
        <sz val="12"/>
        <color theme="1"/>
        <rFont val="Calibri"/>
        <family val="2"/>
        <scheme val="minor"/>
      </rPr>
      <t xml:space="preserve"> / unité étalon) </t>
    </r>
  </si>
  <si>
    <t xml:space="preserve">Utilisation de la méthode énergétique </t>
  </si>
  <si>
    <t xml:space="preserve">Facteur d'émission utilisé pour la méthode énergétique (tm éq. CO2 / GJ) </t>
  </si>
  <si>
    <t xml:space="preserve">Effort minimal attendu (EMA) (pp) </t>
  </si>
  <si>
    <t xml:space="preserve">Facteur d'assistance (FA) </t>
  </si>
  <si>
    <t xml:space="preserve">Facteur de déclin des plafonds (FDP) (pp) </t>
  </si>
  <si>
    <t xml:space="preserve">Niveau de risque </t>
  </si>
  <si>
    <t xml:space="preserve">Réduction additionnelle annuelle (pp) </t>
  </si>
  <si>
    <t xml:space="preserve">Facteur des émissions fixes de procédés (FFP) (pp) </t>
  </si>
  <si>
    <t xml:space="preserve">Effort supplémentaire attendu (ESA) (pp) </t>
  </si>
  <si>
    <t xml:space="preserve">Facteur de modulation de la trajectoire (FMT) (pp) </t>
  </si>
  <si>
    <t xml:space="preserve">Allocation gratuite (allocation totale) (nb d'unités) </t>
  </si>
  <si>
    <t xml:space="preserve">Portion de l'allocation gratuite versée à l'émetteur (nb d'unités) </t>
  </si>
  <si>
    <t xml:space="preserve">Portion de l'allocation gratuite destinée à la vente aux enchères (mise en consigne) (nb d'unités) </t>
  </si>
  <si>
    <t xml:space="preserve">Unité vendues aux enchères (mise en consigne) (nb d'unités) </t>
  </si>
  <si>
    <t xml:space="preserve">Nombre d'unités à acheter (incluant les unités mises en consigne) (nb d'unités) </t>
  </si>
  <si>
    <t xml:space="preserve">Surplus d'allocation gratuite versée (nb d'unités) </t>
  </si>
  <si>
    <t xml:space="preserve">Prix des unités d'émission ($) </t>
  </si>
  <si>
    <t xml:space="preserve">Coût carbone net (incluant les unités mises en consigne) ($) </t>
  </si>
  <si>
    <t xml:space="preserve">Coût carbone par tonne de GES émise ($) </t>
  </si>
  <si>
    <t xml:space="preserve">Valeur du surplus d'allocation gratuite versée à l'émetteur ($) </t>
  </si>
  <si>
    <t xml:space="preserve">Revenus de la vente aux enchères (mise en consigne) ($) </t>
  </si>
  <si>
    <t>M$</t>
  </si>
  <si>
    <t>Valeur totale du surplus d'allocation gratuite versée :</t>
  </si>
  <si>
    <t>Montants cumulés issus de la vente aux enchères (mise en consigne) :</t>
  </si>
  <si>
    <t>$/t éq. CO2</t>
  </si>
  <si>
    <t xml:space="preserve"> (voir article 3 du RSPEDE)</t>
  </si>
  <si>
    <t xml:space="preserve">Section(s) du RSPEDE applicable(s) : </t>
  </si>
  <si>
    <t>Non</t>
  </si>
  <si>
    <t>Version d'octobre 2023.</t>
  </si>
  <si>
    <r>
      <t xml:space="preserve">Ce fichier est un outil permettant d'estimer l'allocation gratuite ainsi que le nombre de droits mis en consigne pour </t>
    </r>
    <r>
      <rPr>
        <b/>
        <sz val="14"/>
        <rFont val="Calibri"/>
        <family val="2"/>
        <scheme val="minor"/>
      </rPr>
      <t>une unité étalon donnée</t>
    </r>
    <r>
      <rPr>
        <sz val="14"/>
        <rFont val="Calibri"/>
        <family val="2"/>
        <scheme val="minor"/>
      </rPr>
      <t xml:space="preserve"> d'un établissement, selon les règles d'allocation gratuite pour la période 2024-2030 prévues dans le Règlement concernant le système de plafonnement et d'échange de droits d'émission de gaz à effet de serre.</t>
    </r>
  </si>
  <si>
    <t>Les valeurs calculées ne sont données qu'à titre indicatif dans le but de mettre en application le modèle d'allocation gratuite, et pourraient différer des valeurs exactes qui seront calculées pour les années 2024 à 2030.</t>
  </si>
  <si>
    <t>Dans le cas de l'utilisation de la méthode énergétique, et afin de simplifier les calculs pour la 4ème année suivant l'année de mise en exploitation, le premier versement de l'allocation gratuite  (correspondant à 75 % de l'estimation pour cette année) est calculé avec la méthode classique alors qu'en réalité, il serait calculé avec la méthode énergétique. 
Cela n'aura pas d'impact sur le nombre total d'unités mises en consigne, mais sur l'année de mise en vente des unités et donc, la valeur des sommes mises en consigne.</t>
  </si>
  <si>
    <t>Le niveau de risque est identique pour les années 2024 à 2030.</t>
  </si>
  <si>
    <t>Les quantités d'unités allouées gratuitement sont arrondies à l'entier supérieur.</t>
  </si>
  <si>
    <r>
      <rPr>
        <b/>
        <sz val="11"/>
        <color theme="1"/>
        <rFont val="Calibri"/>
        <family val="2"/>
        <scheme val="minor"/>
      </rPr>
      <t xml:space="preserve">NOTE: </t>
    </r>
    <r>
      <rPr>
        <sz val="11"/>
        <color theme="1"/>
        <rFont val="Calibri"/>
        <family val="2"/>
        <scheme val="minor"/>
      </rPr>
      <t>Ces équations s'appliquent aux établissements assujettis avant 2024 qui ne pas traités sur une base sectorielle. Des équations différentes sont utilisées, conformémement au RSPEDE, dans le cas des établissements traités sur une base sectorielle, nouvellement mis en exploitation et assujettis à compter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</si>
</sst>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 &quot;$&quot;"/>
    <numFmt numFmtId="166" formatCode="#,##0.00\ &quot;$&quot;"/>
    <numFmt numFmtId="167" formatCode="#,##0.00000"/>
    <numFmt numFmtId="168" formatCode="#,##0.00,,&quot; M$&quot;"/>
    <numFmt numFmtId="169" formatCode="\+\ 0.0%;\-\ 0.0%"/>
    <numFmt numFmtId="170" formatCode="#,##0.000"/>
    <numFmt numFmtId="171" formatCode="0.00000"/>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vertAlign val="subscript"/>
      <sz val="12"/>
      <color theme="1"/>
      <name val="Calibri"/>
      <family val="2"/>
      <scheme val="minor"/>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4"/>
      <name val="Calibri"/>
      <family val="2"/>
      <scheme val="minor"/>
    </font>
    <font>
      <b/>
      <sz val="14"/>
      <color rgb="FF00B050"/>
      <name val="Calibri"/>
      <family val="2"/>
      <scheme val="minor"/>
    </font>
    <font>
      <b/>
      <sz val="11"/>
      <color theme="1"/>
      <name val="Calibri"/>
      <family val="2"/>
      <scheme val="minor"/>
    </font>
    <font>
      <sz val="12"/>
      <color theme="0" tint="-0.34998626667073579"/>
      <name val="Calibri"/>
      <family val="2"/>
      <scheme val="minor"/>
    </font>
    <font>
      <b/>
      <sz val="16"/>
      <color theme="1"/>
      <name val="Calibri"/>
      <family val="2"/>
      <scheme val="minor"/>
    </font>
    <font>
      <sz val="12"/>
      <name val="Calibri"/>
      <family val="2"/>
      <scheme val="minor"/>
    </font>
    <font>
      <sz val="9"/>
      <color indexed="81"/>
      <name val="Tahoma"/>
      <family val="2"/>
    </font>
    <font>
      <b/>
      <sz val="12"/>
      <color theme="4" tint="0.59999389629810485"/>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8"/>
        <bgColor theme="8"/>
      </patternFill>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lightUp">
        <fgColor theme="8" tint="0.39994506668294322"/>
        <bgColor theme="0"/>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theme="8" tint="0.39997558519241921"/>
      </top>
      <bottom style="thin">
        <color theme="8" tint="0.3999755851924192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2" fillId="3" borderId="2" xfId="0" applyFont="1" applyFill="1" applyBorder="1" applyAlignment="1" applyProtection="1">
      <alignment vertical="center"/>
      <protection hidden="1"/>
    </xf>
    <xf numFmtId="0" fontId="3" fillId="6" borderId="0" xfId="0" applyFont="1" applyFill="1"/>
    <xf numFmtId="0" fontId="3" fillId="6" borderId="0" xfId="0" applyFont="1" applyFill="1" applyAlignment="1">
      <alignment wrapText="1"/>
    </xf>
    <xf numFmtId="3" fontId="3" fillId="4" borderId="1" xfId="0" applyNumberFormat="1" applyFont="1" applyFill="1" applyBorder="1" applyAlignment="1">
      <alignment horizontal="center" vertical="center"/>
    </xf>
    <xf numFmtId="0" fontId="5" fillId="5" borderId="1" xfId="0" applyFont="1" applyFill="1" applyBorder="1" applyAlignment="1" applyProtection="1">
      <alignment horizontal="left" vertical="center"/>
      <protection hidden="1"/>
    </xf>
    <xf numFmtId="0" fontId="5" fillId="5" borderId="5" xfId="0" applyFont="1" applyFill="1" applyBorder="1" applyAlignment="1" applyProtection="1">
      <alignment horizontal="center" vertical="center"/>
      <protection hidden="1"/>
    </xf>
    <xf numFmtId="0" fontId="3" fillId="2" borderId="3" xfId="0" applyFont="1" applyFill="1" applyBorder="1"/>
    <xf numFmtId="165" fontId="3" fillId="6" borderId="3" xfId="0" applyNumberFormat="1" applyFont="1" applyFill="1" applyBorder="1"/>
    <xf numFmtId="4" fontId="3" fillId="6" borderId="0" xfId="1" applyNumberFormat="1" applyFont="1" applyFill="1" applyBorder="1" applyAlignment="1">
      <alignment horizontal="center"/>
    </xf>
    <xf numFmtId="2" fontId="3" fillId="6" borderId="0" xfId="1" applyNumberFormat="1" applyFont="1" applyFill="1" applyBorder="1" applyAlignment="1">
      <alignment horizontal="center"/>
    </xf>
    <xf numFmtId="166" fontId="3" fillId="7" borderId="1" xfId="0" applyNumberFormat="1" applyFont="1" applyFill="1" applyBorder="1" applyAlignment="1" applyProtection="1">
      <alignment horizontal="center" vertical="center"/>
      <protection locked="0"/>
    </xf>
    <xf numFmtId="0" fontId="0" fillId="6" borderId="0" xfId="0" applyFill="1"/>
    <xf numFmtId="0" fontId="0" fillId="6" borderId="0" xfId="0" applyFill="1" applyAlignment="1">
      <alignment wrapText="1"/>
    </xf>
    <xf numFmtId="0" fontId="7" fillId="6" borderId="3" xfId="0" applyFont="1" applyFill="1" applyBorder="1"/>
    <xf numFmtId="0" fontId="7" fillId="6" borderId="3" xfId="0" applyFont="1" applyFill="1" applyBorder="1" applyAlignment="1">
      <alignment wrapText="1"/>
    </xf>
    <xf numFmtId="0" fontId="7" fillId="6" borderId="0" xfId="0" applyFont="1" applyFill="1"/>
    <xf numFmtId="0" fontId="8" fillId="6" borderId="0" xfId="0" applyFont="1" applyFill="1" applyAlignment="1">
      <alignment wrapText="1"/>
    </xf>
    <xf numFmtId="0" fontId="9" fillId="6" borderId="0" xfId="0" applyFont="1" applyFill="1" applyAlignment="1">
      <alignment wrapText="1"/>
    </xf>
    <xf numFmtId="0" fontId="8" fillId="6" borderId="0" xfId="0" applyFont="1" applyFill="1"/>
    <xf numFmtId="0" fontId="8" fillId="6" borderId="3" xfId="0" applyFont="1" applyFill="1" applyBorder="1" applyAlignment="1">
      <alignment wrapText="1"/>
    </xf>
    <xf numFmtId="0" fontId="3" fillId="8" borderId="0" xfId="0" applyFont="1" applyFill="1"/>
    <xf numFmtId="0" fontId="3" fillId="8" borderId="0" xfId="0" applyFont="1" applyFill="1" applyAlignment="1">
      <alignment wrapText="1"/>
    </xf>
    <xf numFmtId="0" fontId="3" fillId="6" borderId="0" xfId="1" applyNumberFormat="1" applyFont="1" applyFill="1" applyBorder="1" applyAlignment="1">
      <alignment horizontal="center"/>
    </xf>
    <xf numFmtId="0" fontId="5" fillId="5" borderId="12" xfId="0" applyFont="1" applyFill="1" applyBorder="1" applyAlignment="1" applyProtection="1">
      <alignment horizontal="center" vertical="center"/>
      <protection hidden="1"/>
    </xf>
    <xf numFmtId="0" fontId="3" fillId="2" borderId="2" xfId="0" applyFont="1" applyFill="1" applyBorder="1" applyAlignment="1">
      <alignment horizontal="center"/>
    </xf>
    <xf numFmtId="0" fontId="3" fillId="2" borderId="0" xfId="0" applyFont="1" applyFill="1" applyAlignment="1">
      <alignment horizontal="center"/>
    </xf>
    <xf numFmtId="0" fontId="13" fillId="6" borderId="0" xfId="1" applyNumberFormat="1" applyFont="1" applyFill="1" applyBorder="1" applyAlignment="1">
      <alignment horizontal="center"/>
    </xf>
    <xf numFmtId="0" fontId="12" fillId="0" borderId="0" xfId="0" applyFont="1" applyAlignment="1">
      <alignment horizontal="center"/>
    </xf>
    <xf numFmtId="0" fontId="0" fillId="0" borderId="0" xfId="0" applyAlignment="1">
      <alignment horizontal="center"/>
    </xf>
    <xf numFmtId="0" fontId="2" fillId="3" borderId="0" xfId="0" applyFont="1" applyFill="1" applyAlignment="1" applyProtection="1">
      <alignment vertical="center"/>
      <protection hidden="1"/>
    </xf>
    <xf numFmtId="167" fontId="3" fillId="6" borderId="0" xfId="0" applyNumberFormat="1" applyFont="1" applyFill="1" applyAlignment="1">
      <alignment horizontal="center"/>
    </xf>
    <xf numFmtId="0" fontId="3" fillId="2" borderId="0" xfId="0" applyFont="1" applyFill="1"/>
    <xf numFmtId="4" fontId="3" fillId="6" borderId="0" xfId="0" applyNumberFormat="1" applyFont="1" applyFill="1" applyAlignment="1">
      <alignment horizontal="center"/>
    </xf>
    <xf numFmtId="0" fontId="13" fillId="2" borderId="0" xfId="0" applyFont="1" applyFill="1" applyAlignment="1">
      <alignment horizontal="center"/>
    </xf>
    <xf numFmtId="3" fontId="3" fillId="6" borderId="0" xfId="0" applyNumberFormat="1" applyFont="1" applyFill="1"/>
    <xf numFmtId="3" fontId="3" fillId="6" borderId="2" xfId="0" applyNumberFormat="1" applyFont="1" applyFill="1" applyBorder="1"/>
    <xf numFmtId="165" fontId="3" fillId="6" borderId="0" xfId="0" applyNumberFormat="1" applyFont="1" applyFill="1"/>
    <xf numFmtId="166" fontId="3" fillId="6" borderId="0" xfId="0" applyNumberFormat="1" applyFont="1" applyFill="1"/>
    <xf numFmtId="165" fontId="3" fillId="6" borderId="15" xfId="0" applyNumberFormat="1" applyFont="1" applyFill="1" applyBorder="1"/>
    <xf numFmtId="0" fontId="3" fillId="8" borderId="3" xfId="0" applyFont="1" applyFill="1" applyBorder="1"/>
    <xf numFmtId="0" fontId="3" fillId="6" borderId="3" xfId="0" applyFont="1" applyFill="1" applyBorder="1"/>
    <xf numFmtId="0" fontId="3" fillId="6" borderId="0" xfId="0" applyFont="1" applyFill="1" applyAlignment="1">
      <alignment horizontal="right"/>
    </xf>
    <xf numFmtId="3" fontId="3" fillId="4" borderId="12" xfId="0" applyNumberFormat="1" applyFont="1" applyFill="1" applyBorder="1" applyAlignment="1">
      <alignment horizontal="center" vertical="center"/>
    </xf>
    <xf numFmtId="0" fontId="3" fillId="6" borderId="16" xfId="0" applyFont="1" applyFill="1" applyBorder="1" applyAlignment="1">
      <alignment wrapText="1"/>
    </xf>
    <xf numFmtId="0" fontId="3" fillId="6" borderId="13" xfId="0" applyFont="1" applyFill="1" applyBorder="1"/>
    <xf numFmtId="0" fontId="3" fillId="6" borderId="14" xfId="0" applyFont="1" applyFill="1" applyBorder="1"/>
    <xf numFmtId="0" fontId="3" fillId="6" borderId="10" xfId="0" applyFont="1" applyFill="1" applyBorder="1" applyAlignment="1">
      <alignment horizontal="right" wrapText="1"/>
    </xf>
    <xf numFmtId="2" fontId="3" fillId="6" borderId="0" xfId="0" applyNumberFormat="1" applyFont="1" applyFill="1" applyAlignment="1">
      <alignment horizontal="right"/>
    </xf>
    <xf numFmtId="2" fontId="3" fillId="6" borderId="0" xfId="0" quotePrefix="1" applyNumberFormat="1" applyFont="1" applyFill="1"/>
    <xf numFmtId="0" fontId="3" fillId="6" borderId="2" xfId="0" applyFont="1" applyFill="1" applyBorder="1"/>
    <xf numFmtId="168" fontId="3" fillId="6" borderId="0" xfId="0" applyNumberFormat="1" applyFont="1" applyFill="1" applyAlignment="1">
      <alignment horizontal="right"/>
    </xf>
    <xf numFmtId="168" fontId="3" fillId="6" borderId="0" xfId="0" applyNumberFormat="1" applyFont="1" applyFill="1" applyAlignment="1">
      <alignment horizontal="center"/>
    </xf>
    <xf numFmtId="0" fontId="3" fillId="6" borderId="0" xfId="0" quotePrefix="1" applyFont="1" applyFill="1"/>
    <xf numFmtId="0" fontId="3" fillId="6" borderId="8" xfId="0" applyFont="1" applyFill="1" applyBorder="1" applyAlignment="1">
      <alignment wrapText="1"/>
    </xf>
    <xf numFmtId="0" fontId="3" fillId="6" borderId="15" xfId="0" applyFont="1" applyFill="1" applyBorder="1"/>
    <xf numFmtId="0" fontId="3" fillId="8" borderId="13" xfId="0" applyFont="1" applyFill="1" applyBorder="1"/>
    <xf numFmtId="0" fontId="3" fillId="8" borderId="14" xfId="0" applyFont="1" applyFill="1" applyBorder="1"/>
    <xf numFmtId="0" fontId="3" fillId="8" borderId="2" xfId="0" applyFont="1" applyFill="1" applyBorder="1"/>
    <xf numFmtId="0" fontId="3" fillId="6" borderId="10" xfId="0" applyFont="1" applyFill="1" applyBorder="1" applyAlignment="1">
      <alignment wrapText="1"/>
    </xf>
    <xf numFmtId="2" fontId="3" fillId="6" borderId="10" xfId="1" applyNumberFormat="1" applyFont="1" applyFill="1" applyBorder="1" applyAlignment="1">
      <alignment wrapText="1"/>
    </xf>
    <xf numFmtId="0" fontId="3" fillId="6" borderId="10" xfId="0" applyFont="1" applyFill="1" applyBorder="1" applyAlignment="1">
      <alignment horizontal="right"/>
    </xf>
    <xf numFmtId="0" fontId="3" fillId="8" borderId="8" xfId="0" applyFont="1" applyFill="1" applyBorder="1" applyAlignment="1">
      <alignment wrapText="1"/>
    </xf>
    <xf numFmtId="0" fontId="3" fillId="8" borderId="15" xfId="0" applyFont="1" applyFill="1" applyBorder="1"/>
    <xf numFmtId="3" fontId="3" fillId="0" borderId="0" xfId="0" applyNumberFormat="1" applyFont="1"/>
    <xf numFmtId="167" fontId="3" fillId="0" borderId="0" xfId="0" applyNumberFormat="1" applyFont="1"/>
    <xf numFmtId="0" fontId="0" fillId="9" borderId="0" xfId="0" applyFill="1"/>
    <xf numFmtId="169" fontId="3" fillId="6" borderId="0" xfId="1" applyNumberFormat="1" applyFont="1" applyFill="1" applyBorder="1" applyAlignment="1">
      <alignment horizontal="center"/>
    </xf>
    <xf numFmtId="0" fontId="5" fillId="5" borderId="9" xfId="0" applyFont="1" applyFill="1" applyBorder="1" applyAlignment="1" applyProtection="1">
      <alignment horizontal="center" vertical="center"/>
      <protection hidden="1"/>
    </xf>
    <xf numFmtId="1" fontId="3" fillId="0" borderId="0" xfId="0" applyNumberFormat="1" applyFont="1"/>
    <xf numFmtId="9" fontId="3" fillId="6" borderId="0" xfId="1" applyFont="1" applyFill="1" applyBorder="1"/>
    <xf numFmtId="9" fontId="3" fillId="6" borderId="0" xfId="1" applyFont="1" applyFill="1" applyBorder="1" applyAlignment="1">
      <alignment horizontal="center"/>
    </xf>
    <xf numFmtId="4" fontId="3" fillId="0" borderId="0" xfId="0" applyNumberFormat="1" applyFont="1"/>
    <xf numFmtId="170" fontId="3" fillId="6" borderId="0" xfId="1" applyNumberFormat="1" applyFont="1" applyFill="1" applyBorder="1" applyAlignment="1">
      <alignment horizontal="center"/>
    </xf>
    <xf numFmtId="0" fontId="3" fillId="6" borderId="10" xfId="0" applyFont="1" applyFill="1" applyBorder="1" applyAlignment="1">
      <alignment horizontal="left"/>
    </xf>
    <xf numFmtId="0" fontId="3" fillId="8" borderId="0" xfId="0" applyFont="1" applyFill="1" applyAlignment="1">
      <alignment horizontal="right"/>
    </xf>
    <xf numFmtId="0" fontId="3" fillId="6" borderId="0" xfId="0" applyFont="1" applyFill="1" applyAlignment="1" applyProtection="1">
      <alignment horizontal="center" vertical="center"/>
      <protection hidden="1"/>
    </xf>
    <xf numFmtId="167" fontId="15" fillId="6" borderId="0" xfId="0" applyNumberFormat="1" applyFont="1" applyFill="1" applyAlignment="1">
      <alignment horizontal="right"/>
    </xf>
    <xf numFmtId="166" fontId="3" fillId="7" borderId="12" xfId="0" applyNumberFormat="1" applyFont="1" applyFill="1" applyBorder="1" applyAlignment="1" applyProtection="1">
      <alignment horizontal="center" vertical="center"/>
      <protection locked="0"/>
    </xf>
    <xf numFmtId="171" fontId="3" fillId="6" borderId="0" xfId="0" applyNumberFormat="1" applyFont="1" applyFill="1" applyAlignment="1" applyProtection="1">
      <alignment vertical="center"/>
      <protection hidden="1"/>
    </xf>
    <xf numFmtId="164" fontId="3" fillId="6" borderId="0" xfId="0" applyNumberFormat="1" applyFont="1" applyFill="1"/>
    <xf numFmtId="0" fontId="3" fillId="6" borderId="11" xfId="0" applyFont="1" applyFill="1" applyBorder="1" applyAlignment="1">
      <alignment horizontal="left" vertical="center" wrapText="1"/>
    </xf>
    <xf numFmtId="0" fontId="3" fillId="6" borderId="6" xfId="0" applyFont="1" applyFill="1" applyBorder="1" applyAlignment="1">
      <alignment horizontal="left" vertical="center" wrapText="1"/>
    </xf>
    <xf numFmtId="0" fontId="2" fillId="3" borderId="7" xfId="0" applyFont="1" applyFill="1" applyBorder="1" applyAlignment="1" applyProtection="1">
      <alignment horizontal="left" vertical="center"/>
      <protection hidden="1"/>
    </xf>
    <xf numFmtId="0" fontId="15" fillId="6" borderId="6" xfId="0" applyFont="1" applyFill="1" applyBorder="1" applyAlignment="1">
      <alignment horizontal="left" vertical="center" wrapText="1"/>
    </xf>
    <xf numFmtId="0" fontId="2" fillId="3" borderId="6" xfId="0" applyFont="1" applyFill="1" applyBorder="1" applyAlignment="1" applyProtection="1">
      <alignment horizontal="left" vertical="center"/>
      <protection hidden="1"/>
    </xf>
    <xf numFmtId="0" fontId="13" fillId="6" borderId="6" xfId="0" applyFont="1" applyFill="1" applyBorder="1" applyAlignment="1">
      <alignment horizontal="left" vertical="center" wrapText="1"/>
    </xf>
    <xf numFmtId="0" fontId="3" fillId="6" borderId="4" xfId="0" applyFont="1" applyFill="1" applyBorder="1" applyAlignment="1">
      <alignment horizontal="left" vertical="center" wrapText="1"/>
    </xf>
    <xf numFmtId="0" fontId="17" fillId="3" borderId="7" xfId="0" applyFont="1" applyFill="1" applyBorder="1" applyAlignment="1" applyProtection="1">
      <alignment horizontal="left" vertical="center"/>
      <protection hidden="1"/>
    </xf>
    <xf numFmtId="0" fontId="17" fillId="3" borderId="0" xfId="0" applyFont="1" applyFill="1" applyAlignment="1" applyProtection="1">
      <alignment vertical="center"/>
      <protection hidden="1"/>
    </xf>
    <xf numFmtId="0" fontId="17" fillId="3" borderId="2" xfId="0" applyFont="1" applyFill="1" applyBorder="1" applyAlignment="1" applyProtection="1">
      <alignment vertical="center"/>
      <protection hidden="1"/>
    </xf>
    <xf numFmtId="0" fontId="3" fillId="8" borderId="0" xfId="0" applyFont="1" applyFill="1" applyAlignment="1">
      <alignment horizontal="center"/>
    </xf>
    <xf numFmtId="0" fontId="14" fillId="8" borderId="16" xfId="0" applyFont="1" applyFill="1" applyBorder="1" applyAlignment="1">
      <alignment wrapText="1"/>
    </xf>
    <xf numFmtId="164" fontId="3"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3" fontId="3" fillId="4" borderId="12"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12" xfId="0" applyNumberFormat="1" applyFont="1" applyFill="1" applyBorder="1" applyAlignment="1">
      <alignment horizontal="center" vertical="center"/>
    </xf>
    <xf numFmtId="0" fontId="14" fillId="8" borderId="0" xfId="0" applyFont="1" applyFill="1" applyAlignment="1">
      <alignment horizontal="center"/>
    </xf>
    <xf numFmtId="4" fontId="3" fillId="4" borderId="9" xfId="0" applyNumberFormat="1" applyFont="1" applyFill="1" applyBorder="1" applyAlignment="1">
      <alignment horizontal="center" vertical="center"/>
    </xf>
    <xf numFmtId="4" fontId="3" fillId="4" borderId="12" xfId="0" applyNumberFormat="1" applyFont="1" applyFill="1" applyBorder="1" applyAlignment="1">
      <alignment horizontal="center" vertical="center"/>
    </xf>
    <xf numFmtId="0" fontId="3" fillId="6" borderId="0" xfId="0" applyFont="1" applyFill="1" applyAlignment="1">
      <alignment horizontal="center"/>
    </xf>
  </cellXfs>
  <cellStyles count="2">
    <cellStyle name="Normal" xfId="0" builtinId="0"/>
    <cellStyle name="Pourcentage" xfId="1" builtinId="5"/>
  </cellStyles>
  <dxfs count="33">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vertical/>
        <horizontal/>
      </border>
    </dxf>
    <dxf>
      <font>
        <color theme="0"/>
      </font>
      <fill>
        <patternFill>
          <bgColor theme="0"/>
        </patternFill>
      </fill>
      <border>
        <vertical/>
        <horizontal/>
      </border>
    </dxf>
    <dxf>
      <fill>
        <patternFill>
          <bgColor rgb="FFFFFF00"/>
        </patternFill>
      </fill>
    </dxf>
    <dxf>
      <font>
        <color theme="0"/>
      </font>
    </dxf>
    <dxf>
      <fill>
        <patternFill patternType="lightUp">
          <fgColor theme="8" tint="0.39994506668294322"/>
          <bgColor theme="0"/>
        </patternFill>
      </fill>
    </dxf>
    <dxf>
      <fill>
        <patternFill patternType="lightUp">
          <fgColor theme="8" tint="0.39994506668294322"/>
          <bgColor theme="0"/>
        </patternFill>
      </fill>
    </dxf>
    <dxf>
      <font>
        <color theme="0" tint="-0.14996795556505021"/>
      </font>
      <fill>
        <patternFill>
          <bgColor theme="0" tint="-0.14996795556505021"/>
        </patternFill>
      </fill>
    </dxf>
    <dxf>
      <border>
        <left/>
        <top/>
        <bottom/>
        <vertical/>
        <horizontal/>
      </border>
    </dxf>
    <dxf>
      <border>
        <left/>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7" tint="0.59996337778862885"/>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top/>
        <bottom/>
        <vertical/>
        <horizontal/>
      </border>
    </dxf>
    <dxf>
      <border>
        <bottom/>
        <vertical/>
        <horizontal/>
      </border>
    </dxf>
    <dxf>
      <font>
        <color theme="0"/>
      </font>
      <fill>
        <patternFill>
          <bgColor theme="0"/>
        </patternFill>
      </fill>
      <border>
        <left/>
        <right/>
        <top/>
        <bottom/>
        <vertical/>
        <horizontal/>
      </border>
    </dxf>
    <dxf>
      <fill>
        <patternFill patternType="none">
          <bgColor auto="1"/>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color theme="0" tint="-0.14996795556505021"/>
      </font>
      <fill>
        <patternFill>
          <bgColor theme="0" tint="-0.14996795556505021"/>
        </patternFill>
      </fill>
    </dxf>
    <dxf>
      <fill>
        <patternFill>
          <bgColor rgb="FFFF7C80"/>
        </patternFill>
      </fill>
    </dxf>
    <dxf>
      <font>
        <color theme="0"/>
      </font>
    </dxf>
    <dxf>
      <font>
        <color theme="0"/>
      </font>
    </dxf>
    <dxf>
      <font>
        <color theme="0"/>
      </font>
    </dxf>
    <dxf>
      <font>
        <color theme="0"/>
      </font>
    </dxf>
    <dxf>
      <font>
        <color theme="0"/>
      </font>
    </dxf>
    <dxf>
      <font>
        <color theme="0"/>
      </font>
    </dxf>
    <dxf>
      <fill>
        <patternFill>
          <bgColor theme="0" tint="-0.14996795556505021"/>
        </patternFill>
      </fill>
      <border>
        <left/>
        <bottom/>
        <vertical/>
        <horizontal/>
      </border>
    </dxf>
  </dxfs>
  <tableStyles count="0" defaultTableStyle="TableStyleMedium2" defaultPivotStyle="PivotStyleLight16"/>
  <colors>
    <mruColors>
      <color rgb="FFFFFFCC"/>
      <color rgb="FFFF7C80"/>
      <color rgb="FFFF9999"/>
      <color rgb="FFFF66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Prévisions</a:t>
            </a:r>
            <a:r>
              <a:rPr lang="fr-CA" baseline="0"/>
              <a:t> de variation des i</a:t>
            </a:r>
            <a:r>
              <a:rPr lang="fr-CA"/>
              <a:t>ntensités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Intensité réelle</c:v>
          </c:tx>
          <c:spPr>
            <a:ln w="25400" cap="rnd">
              <a:solidFill>
                <a:schemeClr val="accent1"/>
              </a:solidFill>
              <a:prstDash val="lgDash"/>
              <a:round/>
            </a:ln>
            <a:effectLst/>
          </c:spPr>
          <c:marker>
            <c:symbol val="none"/>
          </c:marker>
          <c:cat>
            <c:numRef>
              <c:f>Calculs!$D$16:$K$16</c:f>
              <c:numCache>
                <c:formatCode>General</c:formatCode>
                <c:ptCount val="8"/>
                <c:pt idx="0">
                  <c:v>2023</c:v>
                </c:pt>
                <c:pt idx="1">
                  <c:v>2024</c:v>
                </c:pt>
                <c:pt idx="2">
                  <c:v>2025</c:v>
                </c:pt>
                <c:pt idx="3">
                  <c:v>2026</c:v>
                </c:pt>
                <c:pt idx="4">
                  <c:v>2027</c:v>
                </c:pt>
                <c:pt idx="5">
                  <c:v>2028</c:v>
                </c:pt>
                <c:pt idx="6">
                  <c:v>2029</c:v>
                </c:pt>
                <c:pt idx="7">
                  <c:v>2030</c:v>
                </c:pt>
              </c:numCache>
            </c:numRef>
          </c:cat>
          <c:val>
            <c:numRef>
              <c:f>Calculs!$D$25:$K$25</c:f>
              <c:numCache>
                <c:formatCode>#\ ##0.00000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E524-4954-8F1C-F2E25E4353B4}"/>
            </c:ext>
          </c:extLst>
        </c:ser>
        <c:ser>
          <c:idx val="2"/>
          <c:order val="1"/>
          <c:tx>
            <c:strRef>
              <c:f>Calculs!$C$28</c:f>
              <c:strCache>
                <c:ptCount val="1"/>
                <c:pt idx="0">
                  <c:v>Intensité réelle moyenne pour 2017-2019</c:v>
                </c:pt>
              </c:strCache>
            </c:strRef>
          </c:tx>
          <c:spPr>
            <a:ln w="28575" cap="rnd">
              <a:solidFill>
                <a:srgbClr val="00B050"/>
              </a:solidFill>
              <a:prstDash val="dashDot"/>
              <a:round/>
            </a:ln>
            <a:effectLst/>
          </c:spPr>
          <c:marker>
            <c:symbol val="none"/>
          </c:marker>
          <c:cat>
            <c:numRef>
              <c:f>Calculs!$D$16:$K$16</c:f>
              <c:numCache>
                <c:formatCode>General</c:formatCode>
                <c:ptCount val="8"/>
                <c:pt idx="0">
                  <c:v>2023</c:v>
                </c:pt>
                <c:pt idx="1">
                  <c:v>2024</c:v>
                </c:pt>
                <c:pt idx="2">
                  <c:v>2025</c:v>
                </c:pt>
                <c:pt idx="3">
                  <c:v>2026</c:v>
                </c:pt>
                <c:pt idx="4">
                  <c:v>2027</c:v>
                </c:pt>
                <c:pt idx="5">
                  <c:v>2028</c:v>
                </c:pt>
                <c:pt idx="6">
                  <c:v>2029</c:v>
                </c:pt>
                <c:pt idx="7">
                  <c:v>2030</c:v>
                </c:pt>
              </c:numCache>
            </c:numRef>
          </c:cat>
          <c:val>
            <c:numRef>
              <c:f>Calculs!$D$28:$K$28</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4EC2-4BF1-ADE8-F39223CE3275}"/>
            </c:ext>
          </c:extLst>
        </c:ser>
        <c:ser>
          <c:idx val="1"/>
          <c:order val="2"/>
          <c:tx>
            <c:v>Intensité cible</c:v>
          </c:tx>
          <c:spPr>
            <a:ln w="25400" cap="rnd">
              <a:solidFill>
                <a:schemeClr val="accent2"/>
              </a:solidFill>
              <a:prstDash val="solid"/>
              <a:round/>
            </a:ln>
            <a:effectLst/>
          </c:spPr>
          <c:marker>
            <c:symbol val="none"/>
          </c:marker>
          <c:cat>
            <c:numRef>
              <c:f>Calculs!$D$16:$K$16</c:f>
              <c:numCache>
                <c:formatCode>General</c:formatCode>
                <c:ptCount val="8"/>
                <c:pt idx="0">
                  <c:v>2023</c:v>
                </c:pt>
                <c:pt idx="1">
                  <c:v>2024</c:v>
                </c:pt>
                <c:pt idx="2">
                  <c:v>2025</c:v>
                </c:pt>
                <c:pt idx="3">
                  <c:v>2026</c:v>
                </c:pt>
                <c:pt idx="4">
                  <c:v>2027</c:v>
                </c:pt>
                <c:pt idx="5">
                  <c:v>2028</c:v>
                </c:pt>
                <c:pt idx="6">
                  <c:v>2029</c:v>
                </c:pt>
                <c:pt idx="7">
                  <c:v>2030</c:v>
                </c:pt>
              </c:numCache>
            </c:numRef>
          </c:cat>
          <c:val>
            <c:numRef>
              <c:f>Calculs!$D$27:$K$27</c:f>
              <c:numCache>
                <c:formatCode>#\ ##0.00000</c:formatCode>
                <c:ptCount val="8"/>
                <c:pt idx="0">
                  <c:v>0</c:v>
                </c:pt>
                <c:pt idx="1">
                  <c:v>#N/A</c:v>
                </c:pt>
                <c:pt idx="2">
                  <c:v>#N/A</c:v>
                </c:pt>
                <c:pt idx="3">
                  <c:v>#N/A</c:v>
                </c:pt>
                <c:pt idx="4">
                  <c:v>#N/A</c:v>
                </c:pt>
                <c:pt idx="5">
                  <c:v>#N/A</c:v>
                </c:pt>
                <c:pt idx="6">
                  <c:v>#N/A</c:v>
                </c:pt>
                <c:pt idx="7">
                  <c:v>#N/A</c:v>
                </c:pt>
              </c:numCache>
            </c:numRef>
          </c:val>
          <c:smooth val="0"/>
          <c:extLst>
            <c:ext xmlns:c16="http://schemas.microsoft.com/office/drawing/2014/chart" uri="{C3380CC4-5D6E-409C-BE32-E72D297353CC}">
              <c16:uniqueId val="{00000001-E524-4954-8F1C-F2E25E4353B4}"/>
            </c:ext>
          </c:extLst>
        </c:ser>
        <c:dLbls>
          <c:showLegendKey val="0"/>
          <c:showVal val="0"/>
          <c:showCatName val="0"/>
          <c:showSerName val="0"/>
          <c:showPercent val="0"/>
          <c:showBubbleSize val="0"/>
        </c:dLbls>
        <c:smooth val="0"/>
        <c:axId val="389597056"/>
        <c:axId val="389599016"/>
      </c:lineChart>
      <c:catAx>
        <c:axId val="38959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599016"/>
        <c:crosses val="autoZero"/>
        <c:auto val="1"/>
        <c:lblAlgn val="ctr"/>
        <c:lblOffset val="100"/>
        <c:noMultiLvlLbl val="0"/>
      </c:catAx>
      <c:valAx>
        <c:axId val="3895990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fr-CA" sz="1050"/>
                  <a:t>tm éq. CO2</a:t>
                </a:r>
                <a:r>
                  <a:rPr lang="fr-CA" sz="1050" baseline="0"/>
                  <a:t> / unité étalon</a:t>
                </a:r>
                <a:endParaRPr lang="fr-CA" sz="1050"/>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title>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59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Prévisions d'émissions et</a:t>
            </a:r>
            <a:r>
              <a:rPr lang="en-US" baseline="0"/>
              <a:t> d'</a:t>
            </a:r>
            <a:r>
              <a:rPr lang="en-US"/>
              <a:t>allocation gratuite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v>Portion de l'allocation gratuite versée à l'émetteur</c:v>
          </c:tx>
          <c:spPr>
            <a:solidFill>
              <a:schemeClr val="accent2"/>
            </a:solidFill>
            <a:ln>
              <a:solidFill>
                <a:schemeClr val="accent2"/>
              </a:solidFill>
            </a:ln>
            <a:effectLst/>
          </c:spPr>
          <c:invertIfNegative val="0"/>
          <c:cat>
            <c:numRef>
              <c:f>Calculs!$D$16:$K$16</c:f>
              <c:numCache>
                <c:formatCode>General</c:formatCode>
                <c:ptCount val="8"/>
                <c:pt idx="0">
                  <c:v>2023</c:v>
                </c:pt>
                <c:pt idx="1">
                  <c:v>2024</c:v>
                </c:pt>
                <c:pt idx="2">
                  <c:v>2025</c:v>
                </c:pt>
                <c:pt idx="3">
                  <c:v>2026</c:v>
                </c:pt>
                <c:pt idx="4">
                  <c:v>2027</c:v>
                </c:pt>
                <c:pt idx="5">
                  <c:v>2028</c:v>
                </c:pt>
                <c:pt idx="6">
                  <c:v>2029</c:v>
                </c:pt>
                <c:pt idx="7">
                  <c:v>2030</c:v>
                </c:pt>
              </c:numCache>
            </c:numRef>
          </c:cat>
          <c:val>
            <c:numRef>
              <c:f>Calculs!$D$44:$K$44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18D7-4EA3-8B5D-55EC11EDB75D}"/>
            </c:ext>
          </c:extLst>
        </c:ser>
        <c:ser>
          <c:idx val="2"/>
          <c:order val="1"/>
          <c:tx>
            <c:v>Portion de l'allocation gratuite destinée à la vente aux enchères (mise en consigne)</c:v>
          </c:tx>
          <c:spPr>
            <a:pattFill prst="ltDnDiag">
              <a:fgClr>
                <a:schemeClr val="accent1"/>
              </a:fgClr>
              <a:bgClr>
                <a:schemeClr val="bg1"/>
              </a:bgClr>
            </a:pattFill>
            <a:ln w="9525">
              <a:solidFill>
                <a:schemeClr val="accent1">
                  <a:alpha val="50000"/>
                </a:schemeClr>
              </a:solidFill>
            </a:ln>
            <a:effectLst/>
          </c:spPr>
          <c:invertIfNegative val="0"/>
          <c:cat>
            <c:numRef>
              <c:f>Calculs!$D$16:$K$16</c:f>
              <c:numCache>
                <c:formatCode>General</c:formatCode>
                <c:ptCount val="8"/>
                <c:pt idx="0">
                  <c:v>2023</c:v>
                </c:pt>
                <c:pt idx="1">
                  <c:v>2024</c:v>
                </c:pt>
                <c:pt idx="2">
                  <c:v>2025</c:v>
                </c:pt>
                <c:pt idx="3">
                  <c:v>2026</c:v>
                </c:pt>
                <c:pt idx="4">
                  <c:v>2027</c:v>
                </c:pt>
                <c:pt idx="5">
                  <c:v>2028</c:v>
                </c:pt>
                <c:pt idx="6">
                  <c:v>2029</c:v>
                </c:pt>
                <c:pt idx="7">
                  <c:v>2030</c:v>
                </c:pt>
              </c:numCache>
            </c:numRef>
          </c:cat>
          <c:val>
            <c:numRef>
              <c:f>Calculs!$D$45:$K$45</c:f>
              <c:numCache>
                <c:formatCode>#,##0</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8D7-4EA3-8B5D-55EC11EDB75D}"/>
            </c:ext>
          </c:extLst>
        </c:ser>
        <c:dLbls>
          <c:showLegendKey val="0"/>
          <c:showVal val="0"/>
          <c:showCatName val="0"/>
          <c:showSerName val="0"/>
          <c:showPercent val="0"/>
          <c:showBubbleSize val="0"/>
        </c:dLbls>
        <c:gapWidth val="150"/>
        <c:overlap val="100"/>
        <c:axId val="396604304"/>
        <c:axId val="395707056"/>
      </c:barChart>
      <c:lineChart>
        <c:grouping val="standard"/>
        <c:varyColors val="0"/>
        <c:ser>
          <c:idx val="0"/>
          <c:order val="2"/>
          <c:tx>
            <c:v>Émissions totales de GES</c:v>
          </c:tx>
          <c:spPr>
            <a:ln w="25400" cap="rnd">
              <a:solidFill>
                <a:schemeClr val="accent1"/>
              </a:solidFill>
              <a:round/>
            </a:ln>
            <a:effectLst/>
          </c:spPr>
          <c:marker>
            <c:symbol val="none"/>
          </c:marker>
          <c:cat>
            <c:numRef>
              <c:f>Calculs!$D$16:$K$16</c:f>
              <c:numCache>
                <c:formatCode>General</c:formatCode>
                <c:ptCount val="8"/>
                <c:pt idx="0">
                  <c:v>2023</c:v>
                </c:pt>
                <c:pt idx="1">
                  <c:v>2024</c:v>
                </c:pt>
                <c:pt idx="2">
                  <c:v>2025</c:v>
                </c:pt>
                <c:pt idx="3">
                  <c:v>2026</c:v>
                </c:pt>
                <c:pt idx="4">
                  <c:v>2027</c:v>
                </c:pt>
                <c:pt idx="5">
                  <c:v>2028</c:v>
                </c:pt>
                <c:pt idx="6">
                  <c:v>2029</c:v>
                </c:pt>
                <c:pt idx="7">
                  <c:v>2030</c:v>
                </c:pt>
              </c:numCache>
            </c:numRef>
          </c:cat>
          <c:val>
            <c:numRef>
              <c:f>Calculs!$D$23:$K$23</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18D7-4EA3-8B5D-55EC11EDB75D}"/>
            </c:ext>
          </c:extLst>
        </c:ser>
        <c:dLbls>
          <c:showLegendKey val="0"/>
          <c:showVal val="0"/>
          <c:showCatName val="0"/>
          <c:showSerName val="0"/>
          <c:showPercent val="0"/>
          <c:showBubbleSize val="0"/>
        </c:dLbls>
        <c:marker val="1"/>
        <c:smooth val="0"/>
        <c:axId val="396604304"/>
        <c:axId val="395707056"/>
      </c:lineChart>
      <c:catAx>
        <c:axId val="39660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5707056"/>
        <c:crosses val="autoZero"/>
        <c:auto val="1"/>
        <c:lblAlgn val="ctr"/>
        <c:lblOffset val="100"/>
        <c:noMultiLvlLbl val="0"/>
      </c:catAx>
      <c:valAx>
        <c:axId val="3957070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fr-CA" sz="1050"/>
                  <a:t>Nombre</a:t>
                </a:r>
                <a:r>
                  <a:rPr lang="fr-CA" sz="1050" baseline="0"/>
                  <a:t> d'unités d'émission (tm éq. CO2)</a:t>
                </a:r>
                <a:endParaRPr lang="fr-CA" sz="1050"/>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660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Prévisions</a:t>
            </a:r>
            <a:r>
              <a:rPr lang="fr-CA" baseline="0"/>
              <a:t> </a:t>
            </a:r>
            <a:r>
              <a:rPr lang="fr-CA" sz="1400" b="0" i="0" u="none" strike="noStrike" baseline="0">
                <a:effectLst/>
              </a:rPr>
              <a:t>de la valeur du surplus d'allocation gratuite versée et </a:t>
            </a:r>
            <a:r>
              <a:rPr lang="fr-CA" baseline="0"/>
              <a:t>de r</a:t>
            </a:r>
            <a:r>
              <a:rPr lang="fr-CA"/>
              <a:t>evenus de la vente aux enchères (mise en consigne)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v>Revenus de la vente aux enchères (mise en consigne)</c:v>
          </c:tx>
          <c:spPr>
            <a:solidFill>
              <a:schemeClr val="accent2"/>
            </a:solidFill>
            <a:ln>
              <a:solidFill>
                <a:schemeClr val="accent2"/>
              </a:solidFill>
            </a:ln>
            <a:effectLst/>
          </c:spPr>
          <c:invertIfNegative val="0"/>
          <c:cat>
            <c:numRef>
              <c:f>Calculs!$D$16:$M$16</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Calculs!$D$56:$M$56</c:f>
              <c:numCache>
                <c:formatCode>#\ ##0\ "$"</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64-4D9E-A678-62FC771C6C40}"/>
            </c:ext>
          </c:extLst>
        </c:ser>
        <c:ser>
          <c:idx val="2"/>
          <c:order val="1"/>
          <c:tx>
            <c:v>Valeur du surplus d'allocation gratuite versée à l'émetteur</c:v>
          </c:tx>
          <c:spPr>
            <a:pattFill prst="pct20">
              <a:fgClr>
                <a:schemeClr val="accent1"/>
              </a:fgClr>
              <a:bgClr>
                <a:schemeClr val="bg1"/>
              </a:bgClr>
            </a:pattFill>
            <a:ln>
              <a:solidFill>
                <a:schemeClr val="accent1">
                  <a:alpha val="50000"/>
                </a:schemeClr>
              </a:solidFill>
            </a:ln>
            <a:effectLst/>
          </c:spPr>
          <c:invertIfNegative val="0"/>
          <c:cat>
            <c:numRef>
              <c:f>Calculs!$D$16:$M$16</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Calculs!$D$55:$M$55</c:f>
              <c:numCache>
                <c:formatCode>#\ ##0\ "$"</c:formatCode>
                <c:ptCount val="10"/>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997-484F-86C6-F33466C236FA}"/>
            </c:ext>
          </c:extLst>
        </c:ser>
        <c:dLbls>
          <c:showLegendKey val="0"/>
          <c:showVal val="0"/>
          <c:showCatName val="0"/>
          <c:showSerName val="0"/>
          <c:showPercent val="0"/>
          <c:showBubbleSize val="0"/>
        </c:dLbls>
        <c:gapWidth val="150"/>
        <c:overlap val="100"/>
        <c:axId val="395703528"/>
        <c:axId val="395704312"/>
      </c:barChart>
      <c:catAx>
        <c:axId val="395703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5704312"/>
        <c:crosses val="autoZero"/>
        <c:auto val="1"/>
        <c:lblAlgn val="ctr"/>
        <c:lblOffset val="100"/>
        <c:noMultiLvlLbl val="0"/>
      </c:catAx>
      <c:valAx>
        <c:axId val="395704312"/>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5703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tiff"/></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376519</xdr:colOff>
      <xdr:row>0</xdr:row>
      <xdr:rowOff>0</xdr:rowOff>
    </xdr:from>
    <xdr:to>
      <xdr:col>2</xdr:col>
      <xdr:colOff>2306396</xdr:colOff>
      <xdr:row>0</xdr:row>
      <xdr:rowOff>1192306</xdr:rowOff>
    </xdr:to>
    <xdr:pic>
      <xdr:nvPicPr>
        <xdr:cNvPr id="2" name="Image 1">
          <a:extLst>
            <a:ext uri="{FF2B5EF4-FFF2-40B4-BE49-F238E27FC236}">
              <a16:creationId xmlns:a16="http://schemas.microsoft.com/office/drawing/2014/main" id="{C1D02855-0D31-4112-93AA-DA1A96B69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531" y="0"/>
          <a:ext cx="2449830" cy="1192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xdr:row>
          <xdr:rowOff>0</xdr:rowOff>
        </xdr:from>
        <xdr:to>
          <xdr:col>7</xdr:col>
          <xdr:colOff>289560</xdr:colOff>
          <xdr:row>16</xdr:row>
          <xdr:rowOff>7620</xdr:rowOff>
        </xdr:to>
        <xdr:sp macro="" textlink="">
          <xdr:nvSpPr>
            <xdr:cNvPr id="7183" name="Object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670560</xdr:colOff>
          <xdr:row>1</xdr:row>
          <xdr:rowOff>0</xdr:rowOff>
        </xdr:from>
        <xdr:to>
          <xdr:col>23</xdr:col>
          <xdr:colOff>236220</xdr:colOff>
          <xdr:row>19</xdr:row>
          <xdr:rowOff>68580</xdr:rowOff>
        </xdr:to>
        <xdr:sp macro="" textlink="">
          <xdr:nvSpPr>
            <xdr:cNvPr id="7184" name="Object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xdr:row>
          <xdr:rowOff>0</xdr:rowOff>
        </xdr:from>
        <xdr:to>
          <xdr:col>15</xdr:col>
          <xdr:colOff>160020</xdr:colOff>
          <xdr:row>25</xdr:row>
          <xdr:rowOff>160020</xdr:rowOff>
        </xdr:to>
        <xdr:sp macro="" textlink="">
          <xdr:nvSpPr>
            <xdr:cNvPr id="7185" name="Object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670560</xdr:colOff>
          <xdr:row>18</xdr:row>
          <xdr:rowOff>99060</xdr:rowOff>
        </xdr:from>
        <xdr:to>
          <xdr:col>23</xdr:col>
          <xdr:colOff>274320</xdr:colOff>
          <xdr:row>33</xdr:row>
          <xdr:rowOff>60960</xdr:rowOff>
        </xdr:to>
        <xdr:sp macro="" textlink="">
          <xdr:nvSpPr>
            <xdr:cNvPr id="7189" name="Object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15</xdr:row>
          <xdr:rowOff>175260</xdr:rowOff>
        </xdr:from>
        <xdr:to>
          <xdr:col>7</xdr:col>
          <xdr:colOff>297180</xdr:colOff>
          <xdr:row>34</xdr:row>
          <xdr:rowOff>7620</xdr:rowOff>
        </xdr:to>
        <xdr:sp macro="" textlink="">
          <xdr:nvSpPr>
            <xdr:cNvPr id="7190" name="Object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647701</xdr:colOff>
      <xdr:row>0</xdr:row>
      <xdr:rowOff>0</xdr:rowOff>
    </xdr:from>
    <xdr:to>
      <xdr:col>3</xdr:col>
      <xdr:colOff>541020</xdr:colOff>
      <xdr:row>0</xdr:row>
      <xdr:rowOff>1094029</xdr:rowOff>
    </xdr:to>
    <xdr:pic>
      <xdr:nvPicPr>
        <xdr:cNvPr id="2" name="Image 1">
          <a:extLst>
            <a:ext uri="{FF2B5EF4-FFF2-40B4-BE49-F238E27FC236}">
              <a16:creationId xmlns:a16="http://schemas.microsoft.com/office/drawing/2014/main" id="{4DDEFEFD-7794-421D-851F-361DF6C6A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1" y="0"/>
          <a:ext cx="2247899" cy="1094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6092820</xdr:colOff>
      <xdr:row>66</xdr:row>
      <xdr:rowOff>202386</xdr:rowOff>
    </xdr:from>
    <xdr:to>
      <xdr:col>7</xdr:col>
      <xdr:colOff>831035</xdr:colOff>
      <xdr:row>84</xdr:row>
      <xdr:rowOff>126856</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1025916</xdr:colOff>
      <xdr:row>66</xdr:row>
      <xdr:rowOff>202386</xdr:rowOff>
    </xdr:from>
    <xdr:to>
      <xdr:col>12</xdr:col>
      <xdr:colOff>1002880</xdr:colOff>
      <xdr:row>84</xdr:row>
      <xdr:rowOff>126856</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137939</xdr:colOff>
      <xdr:row>66</xdr:row>
      <xdr:rowOff>202386</xdr:rowOff>
    </xdr:from>
    <xdr:to>
      <xdr:col>2</xdr:col>
      <xdr:colOff>5897939</xdr:colOff>
      <xdr:row>84</xdr:row>
      <xdr:rowOff>126856</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457199</xdr:colOff>
      <xdr:row>0</xdr:row>
      <xdr:rowOff>0</xdr:rowOff>
    </xdr:from>
    <xdr:to>
      <xdr:col>2</xdr:col>
      <xdr:colOff>2652446</xdr:colOff>
      <xdr:row>0</xdr:row>
      <xdr:rowOff>1290918</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2681" y="0"/>
          <a:ext cx="2652447" cy="1290918"/>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6.emf"/><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package" Target="../embeddings/Microsoft_Word_Document4.docx"/><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4.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28"/>
  <sheetViews>
    <sheetView tabSelected="1" zoomScale="85" zoomScaleNormal="85" workbookViewId="0">
      <selection activeCell="C4" sqref="C4"/>
    </sheetView>
  </sheetViews>
  <sheetFormatPr baseColWidth="10" defaultColWidth="11.44140625" defaultRowHeight="14.4" x14ac:dyDescent="0.3"/>
  <cols>
    <col min="1" max="1" width="3.6640625" customWidth="1"/>
    <col min="2" max="2" width="7.5546875" customWidth="1"/>
    <col min="3" max="3" width="215.109375" style="1" customWidth="1"/>
  </cols>
  <sheetData>
    <row r="1" spans="1:8" ht="95.4" customHeight="1" x14ac:dyDescent="0.3">
      <c r="A1" s="15"/>
      <c r="B1" s="15"/>
      <c r="C1" s="16"/>
      <c r="D1" s="15"/>
      <c r="E1" s="15"/>
      <c r="F1" s="15"/>
      <c r="G1" s="15"/>
      <c r="H1" s="15"/>
    </row>
    <row r="2" spans="1:8" ht="18.600000000000001" thickBot="1" x14ac:dyDescent="0.4">
      <c r="A2" s="15"/>
      <c r="B2" s="17" t="s">
        <v>0</v>
      </c>
      <c r="C2" s="18"/>
      <c r="D2" s="15"/>
      <c r="E2" s="15"/>
      <c r="F2" s="15"/>
      <c r="G2" s="15"/>
      <c r="H2" s="15"/>
    </row>
    <row r="3" spans="1:8" ht="18" x14ac:dyDescent="0.35">
      <c r="A3" s="15"/>
      <c r="B3" s="19"/>
      <c r="C3" s="20" t="s">
        <v>69</v>
      </c>
      <c r="D3" s="15"/>
      <c r="E3" s="15"/>
      <c r="F3" s="15"/>
      <c r="G3" s="15"/>
      <c r="H3" s="15"/>
    </row>
    <row r="4" spans="1:8" ht="36" x14ac:dyDescent="0.35">
      <c r="A4" s="15"/>
      <c r="B4" s="19"/>
      <c r="C4" s="21" t="s">
        <v>70</v>
      </c>
      <c r="D4" s="15"/>
      <c r="E4" s="15"/>
      <c r="F4" s="15"/>
      <c r="G4" s="15"/>
      <c r="H4" s="15"/>
    </row>
    <row r="5" spans="1:8" ht="36" x14ac:dyDescent="0.35">
      <c r="A5" s="15"/>
      <c r="B5" s="22"/>
      <c r="C5" s="21" t="s">
        <v>71</v>
      </c>
      <c r="D5" s="15"/>
      <c r="E5" s="15"/>
      <c r="F5" s="15"/>
      <c r="G5" s="15"/>
      <c r="H5" s="15"/>
    </row>
    <row r="6" spans="1:8" ht="18" x14ac:dyDescent="0.35">
      <c r="A6" s="15"/>
      <c r="B6" s="22"/>
      <c r="C6" s="20" t="s">
        <v>1</v>
      </c>
      <c r="D6" s="15"/>
      <c r="E6" s="15"/>
      <c r="F6" s="15"/>
      <c r="G6" s="15"/>
      <c r="H6" s="15"/>
    </row>
    <row r="7" spans="1:8" ht="54" x14ac:dyDescent="0.35">
      <c r="A7" s="15"/>
      <c r="B7" s="22"/>
      <c r="C7" s="20" t="s">
        <v>72</v>
      </c>
      <c r="D7" s="15"/>
      <c r="E7" s="15"/>
      <c r="F7" s="15"/>
      <c r="G7" s="15"/>
      <c r="H7" s="15"/>
    </row>
    <row r="8" spans="1:8" ht="18" x14ac:dyDescent="0.35">
      <c r="A8" s="15"/>
      <c r="B8" s="22"/>
      <c r="C8" s="20"/>
      <c r="D8" s="15"/>
      <c r="E8" s="15"/>
      <c r="F8" s="15"/>
      <c r="G8" s="15"/>
      <c r="H8" s="15"/>
    </row>
    <row r="9" spans="1:8" ht="18.600000000000001" thickBot="1" x14ac:dyDescent="0.4">
      <c r="A9" s="15"/>
      <c r="B9" s="17" t="s">
        <v>2</v>
      </c>
      <c r="C9" s="23"/>
      <c r="D9" s="15"/>
      <c r="E9" s="15"/>
      <c r="F9" s="15"/>
      <c r="G9" s="15"/>
      <c r="H9" s="15"/>
    </row>
    <row r="10" spans="1:8" ht="18" x14ac:dyDescent="0.35">
      <c r="A10" s="15"/>
      <c r="B10" s="22"/>
      <c r="C10" s="20" t="s">
        <v>3</v>
      </c>
      <c r="D10" s="15"/>
      <c r="E10" s="15"/>
      <c r="F10" s="15"/>
      <c r="G10" s="15"/>
      <c r="H10" s="15"/>
    </row>
    <row r="11" spans="1:8" ht="18.75" customHeight="1" x14ac:dyDescent="0.35">
      <c r="A11" s="15"/>
      <c r="B11" s="22"/>
      <c r="C11" s="20" t="s">
        <v>4</v>
      </c>
      <c r="D11" s="15"/>
      <c r="E11" s="15"/>
      <c r="F11" s="15"/>
      <c r="G11" s="15"/>
      <c r="H11" s="15"/>
    </row>
    <row r="12" spans="1:8" ht="18" x14ac:dyDescent="0.35">
      <c r="A12" s="15"/>
      <c r="B12" s="22"/>
      <c r="C12" s="20" t="s">
        <v>73</v>
      </c>
      <c r="D12" s="15"/>
      <c r="E12" s="15"/>
      <c r="F12" s="15"/>
      <c r="G12" s="15"/>
      <c r="H12" s="15"/>
    </row>
    <row r="13" spans="1:8" ht="18" x14ac:dyDescent="0.35">
      <c r="A13" s="15"/>
      <c r="B13" s="22"/>
      <c r="C13" s="21" t="s">
        <v>5</v>
      </c>
      <c r="D13" s="15"/>
      <c r="E13" s="15"/>
      <c r="F13" s="15"/>
      <c r="G13" s="15"/>
      <c r="H13" s="15"/>
    </row>
    <row r="14" spans="1:8" ht="18" x14ac:dyDescent="0.35">
      <c r="A14" s="15"/>
      <c r="B14" s="22"/>
      <c r="C14" s="21" t="s">
        <v>74</v>
      </c>
      <c r="D14" s="15"/>
      <c r="E14" s="15"/>
      <c r="F14" s="15"/>
      <c r="G14" s="15"/>
      <c r="H14" s="15"/>
    </row>
    <row r="15" spans="1:8" ht="36" x14ac:dyDescent="0.35">
      <c r="A15" s="15"/>
      <c r="B15" s="22"/>
      <c r="C15" s="21" t="s">
        <v>6</v>
      </c>
      <c r="D15" s="15"/>
      <c r="E15" s="15"/>
      <c r="F15" s="15"/>
      <c r="G15" s="15"/>
      <c r="H15" s="15"/>
    </row>
    <row r="16" spans="1:8" ht="18" x14ac:dyDescent="0.35">
      <c r="A16" s="15"/>
      <c r="B16" s="22"/>
      <c r="C16" s="21"/>
      <c r="D16" s="15"/>
      <c r="E16" s="15"/>
      <c r="F16" s="15"/>
      <c r="G16" s="15"/>
      <c r="H16" s="15"/>
    </row>
    <row r="17" spans="1:8" ht="15" thickBot="1" x14ac:dyDescent="0.35">
      <c r="A17" s="15"/>
      <c r="B17" s="15"/>
      <c r="C17" s="16"/>
      <c r="D17" s="15"/>
      <c r="E17" s="15"/>
      <c r="F17" s="15"/>
      <c r="G17" s="15"/>
      <c r="H17" s="15"/>
    </row>
    <row r="18" spans="1:8" ht="16.2" thickBot="1" x14ac:dyDescent="0.35">
      <c r="A18" s="15"/>
      <c r="B18" s="7"/>
      <c r="C18" s="16" t="s">
        <v>7</v>
      </c>
      <c r="D18" s="15"/>
      <c r="E18" s="15"/>
      <c r="F18" s="15"/>
      <c r="G18" s="15"/>
      <c r="H18" s="15"/>
    </row>
    <row r="19" spans="1:8" ht="16.2" thickBot="1" x14ac:dyDescent="0.35">
      <c r="A19" s="15"/>
      <c r="B19" s="14"/>
      <c r="C19" s="16" t="s">
        <v>8</v>
      </c>
      <c r="D19" s="15"/>
      <c r="E19" s="15"/>
      <c r="F19" s="15"/>
      <c r="G19" s="15"/>
      <c r="H19" s="15"/>
    </row>
    <row r="20" spans="1:8" x14ac:dyDescent="0.3">
      <c r="A20" s="15"/>
      <c r="B20" s="69"/>
      <c r="C20" s="16" t="s">
        <v>9</v>
      </c>
      <c r="D20" s="15"/>
      <c r="E20" s="15"/>
      <c r="F20" s="15"/>
      <c r="G20" s="15"/>
      <c r="H20" s="15"/>
    </row>
    <row r="21" spans="1:8" x14ac:dyDescent="0.3">
      <c r="A21" s="15"/>
      <c r="B21" s="15"/>
      <c r="C21" s="16"/>
      <c r="D21" s="15"/>
      <c r="E21" s="15"/>
      <c r="F21" s="15"/>
      <c r="G21" s="15"/>
      <c r="H21" s="15"/>
    </row>
    <row r="22" spans="1:8" x14ac:dyDescent="0.3">
      <c r="A22" s="15"/>
      <c r="B22" s="15"/>
      <c r="C22" s="16"/>
      <c r="D22" s="15"/>
      <c r="E22" s="15"/>
      <c r="F22" s="15"/>
      <c r="G22" s="15"/>
      <c r="H22" s="15"/>
    </row>
    <row r="23" spans="1:8" x14ac:dyDescent="0.3">
      <c r="A23" s="15"/>
      <c r="B23" s="15"/>
      <c r="C23" s="16"/>
      <c r="D23" s="15"/>
      <c r="E23" s="15"/>
      <c r="F23" s="15"/>
      <c r="G23" s="15"/>
      <c r="H23" s="15"/>
    </row>
    <row r="24" spans="1:8" x14ac:dyDescent="0.3">
      <c r="A24" s="15"/>
      <c r="B24" s="15"/>
      <c r="C24" s="16"/>
      <c r="D24" s="15"/>
      <c r="E24" s="15"/>
      <c r="F24" s="15"/>
      <c r="G24" s="15"/>
      <c r="H24" s="15"/>
    </row>
    <row r="25" spans="1:8" x14ac:dyDescent="0.3">
      <c r="A25" s="15"/>
      <c r="B25" s="15"/>
      <c r="C25" s="16"/>
      <c r="D25" s="15"/>
      <c r="E25" s="15"/>
      <c r="F25" s="15"/>
      <c r="G25" s="15"/>
      <c r="H25" s="15"/>
    </row>
    <row r="26" spans="1:8" x14ac:dyDescent="0.3">
      <c r="A26" s="15"/>
      <c r="B26" s="15"/>
      <c r="C26" s="16"/>
      <c r="D26" s="15"/>
      <c r="E26" s="15"/>
      <c r="F26" s="15"/>
      <c r="G26" s="15"/>
      <c r="H26" s="15"/>
    </row>
    <row r="27" spans="1:8" x14ac:dyDescent="0.3">
      <c r="A27" s="15"/>
      <c r="B27" s="15"/>
      <c r="C27" s="16"/>
      <c r="D27" s="15"/>
      <c r="E27" s="15"/>
      <c r="F27" s="15"/>
      <c r="G27" s="15"/>
      <c r="H27" s="15"/>
    </row>
    <row r="28" spans="1:8" x14ac:dyDescent="0.3">
      <c r="A28" s="15"/>
      <c r="B28" s="15"/>
      <c r="C28" s="16"/>
      <c r="D28" s="15"/>
      <c r="E28" s="15"/>
      <c r="F28" s="15"/>
      <c r="G28" s="15"/>
      <c r="H28" s="15"/>
    </row>
  </sheetData>
  <protectedRanges>
    <protectedRange sqref="B19" name="Prix des unités"/>
  </protectedRanges>
  <conditionalFormatting sqref="B18">
    <cfRule type="expression" dxfId="32" priority="1">
      <formula>B$2&lt;$B$2</formula>
    </cfRule>
  </conditionalFormatting>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7AE4-EF59-4444-88E9-A304D2798260}">
  <sheetPr codeName="Feuil2"/>
  <dimension ref="A1:X39"/>
  <sheetViews>
    <sheetView zoomScaleNormal="100" workbookViewId="0">
      <selection activeCell="G1" sqref="G1"/>
    </sheetView>
  </sheetViews>
  <sheetFormatPr baseColWidth="10" defaultColWidth="11.44140625" defaultRowHeight="14.4" x14ac:dyDescent="0.3"/>
  <sheetData>
    <row r="1" spans="1:24" ht="117.6" customHeight="1" x14ac:dyDescent="0.3">
      <c r="A1" s="15"/>
      <c r="B1" s="15"/>
      <c r="C1" s="15"/>
      <c r="D1" s="15"/>
      <c r="E1" s="15"/>
      <c r="F1" s="15"/>
      <c r="G1" s="15"/>
      <c r="H1" s="15"/>
      <c r="I1" s="15"/>
      <c r="J1" s="15"/>
      <c r="K1" s="15"/>
      <c r="L1" s="15"/>
      <c r="M1" s="15"/>
      <c r="N1" s="15"/>
      <c r="O1" s="15"/>
      <c r="P1" s="15"/>
      <c r="Q1" s="15"/>
      <c r="R1" s="15"/>
      <c r="S1" s="15"/>
      <c r="T1" s="15"/>
      <c r="U1" s="15"/>
      <c r="V1" s="15"/>
      <c r="W1" s="15"/>
      <c r="X1" s="15"/>
    </row>
    <row r="2" spans="1:24" x14ac:dyDescent="0.3">
      <c r="A2" s="15"/>
      <c r="B2" s="15"/>
      <c r="C2" s="15"/>
      <c r="D2" s="15"/>
      <c r="E2" s="15"/>
      <c r="F2" s="15"/>
      <c r="G2" s="15"/>
      <c r="H2" s="15"/>
      <c r="I2" s="15"/>
      <c r="J2" s="15"/>
      <c r="K2" s="15"/>
      <c r="L2" s="15"/>
      <c r="M2" s="15"/>
      <c r="N2" s="15"/>
      <c r="O2" s="15"/>
      <c r="P2" s="15"/>
      <c r="Q2" s="15"/>
      <c r="R2" s="15"/>
      <c r="S2" s="15"/>
      <c r="T2" s="15"/>
      <c r="U2" s="15"/>
      <c r="V2" s="15"/>
      <c r="W2" s="15"/>
      <c r="X2" s="15"/>
    </row>
    <row r="3" spans="1:24" x14ac:dyDescent="0.3">
      <c r="A3" s="15"/>
      <c r="B3" s="15"/>
      <c r="C3" s="15"/>
      <c r="D3" s="15"/>
      <c r="E3" s="15"/>
      <c r="F3" s="15"/>
      <c r="G3" s="15"/>
      <c r="H3" s="15"/>
      <c r="I3" s="15"/>
      <c r="J3" s="15"/>
      <c r="K3" s="15"/>
      <c r="L3" s="15"/>
      <c r="M3" s="15"/>
      <c r="N3" s="15"/>
      <c r="O3" s="15"/>
      <c r="P3" s="15"/>
      <c r="Q3" s="15"/>
      <c r="R3" s="15"/>
      <c r="S3" s="15"/>
      <c r="T3" s="15"/>
      <c r="U3" s="15"/>
      <c r="V3" s="15"/>
      <c r="W3" s="15"/>
      <c r="X3" s="15"/>
    </row>
    <row r="4" spans="1:24" x14ac:dyDescent="0.3">
      <c r="A4" s="15"/>
      <c r="B4" s="15"/>
      <c r="C4" s="15"/>
      <c r="D4" s="15"/>
      <c r="E4" s="15"/>
      <c r="F4" s="15"/>
      <c r="G4" s="15"/>
      <c r="H4" s="15"/>
      <c r="I4" s="15"/>
      <c r="J4" s="15"/>
      <c r="K4" s="15"/>
      <c r="L4" s="15"/>
      <c r="M4" s="15"/>
      <c r="N4" s="15"/>
      <c r="O4" s="15"/>
      <c r="P4" s="15"/>
      <c r="Q4" s="15"/>
      <c r="R4" s="15"/>
      <c r="S4" s="15"/>
      <c r="T4" s="15"/>
      <c r="U4" s="15"/>
      <c r="V4" s="15"/>
      <c r="W4" s="15"/>
      <c r="X4" s="15"/>
    </row>
    <row r="5" spans="1:24" x14ac:dyDescent="0.3">
      <c r="A5" s="15"/>
      <c r="B5" s="15"/>
      <c r="C5" s="15"/>
      <c r="D5" s="15"/>
      <c r="E5" s="15"/>
      <c r="F5" s="15"/>
      <c r="G5" s="15"/>
      <c r="H5" s="15"/>
      <c r="I5" s="15"/>
      <c r="J5" s="15"/>
      <c r="K5" s="15"/>
      <c r="L5" s="15"/>
      <c r="M5" s="15"/>
      <c r="N5" s="15"/>
      <c r="O5" s="15"/>
      <c r="P5" s="15"/>
      <c r="Q5" s="15"/>
      <c r="R5" s="15"/>
      <c r="S5" s="15"/>
      <c r="T5" s="15"/>
      <c r="U5" s="15"/>
      <c r="V5" s="15"/>
      <c r="W5" s="15"/>
      <c r="X5" s="15"/>
    </row>
    <row r="6" spans="1:24" x14ac:dyDescent="0.3">
      <c r="A6" s="15"/>
      <c r="B6" s="15"/>
      <c r="C6" s="15"/>
      <c r="D6" s="15"/>
      <c r="E6" s="15"/>
      <c r="F6" s="15"/>
      <c r="G6" s="15"/>
      <c r="H6" s="15"/>
      <c r="I6" s="15"/>
      <c r="J6" s="15"/>
      <c r="K6" s="15"/>
      <c r="L6" s="15"/>
      <c r="M6" s="15"/>
      <c r="N6" s="15"/>
      <c r="O6" s="15"/>
      <c r="P6" s="15"/>
      <c r="Q6" s="15"/>
      <c r="R6" s="15"/>
      <c r="S6" s="15"/>
      <c r="T6" s="15"/>
      <c r="U6" s="15"/>
      <c r="V6" s="15"/>
      <c r="W6" s="15"/>
      <c r="X6" s="15"/>
    </row>
    <row r="7" spans="1:24" x14ac:dyDescent="0.3">
      <c r="A7" s="15"/>
      <c r="B7" s="15"/>
      <c r="C7" s="15"/>
      <c r="D7" s="15"/>
      <c r="E7" s="15"/>
      <c r="F7" s="15"/>
      <c r="G7" s="15"/>
      <c r="H7" s="15"/>
      <c r="I7" s="15"/>
      <c r="J7" s="15"/>
      <c r="K7" s="15"/>
      <c r="L7" s="15"/>
      <c r="M7" s="15"/>
      <c r="N7" s="15"/>
      <c r="O7" s="15"/>
      <c r="P7" s="15"/>
      <c r="Q7" s="15"/>
      <c r="R7" s="15"/>
      <c r="S7" s="15"/>
      <c r="T7" s="15"/>
      <c r="U7" s="15"/>
      <c r="V7" s="15"/>
      <c r="W7" s="15"/>
      <c r="X7" s="15"/>
    </row>
    <row r="8" spans="1:24" x14ac:dyDescent="0.3">
      <c r="A8" s="15"/>
      <c r="B8" s="15"/>
      <c r="C8" s="15"/>
      <c r="D8" s="15"/>
      <c r="E8" s="15"/>
      <c r="F8" s="15"/>
      <c r="G8" s="15"/>
      <c r="H8" s="15"/>
      <c r="I8" s="15"/>
      <c r="J8" s="15"/>
      <c r="K8" s="15"/>
      <c r="L8" s="15"/>
      <c r="M8" s="15"/>
      <c r="N8" s="15"/>
      <c r="O8" s="15"/>
      <c r="P8" s="15"/>
      <c r="Q8" s="15"/>
      <c r="R8" s="15"/>
      <c r="S8" s="15"/>
      <c r="T8" s="15"/>
      <c r="U8" s="15"/>
      <c r="V8" s="15"/>
      <c r="W8" s="15"/>
      <c r="X8" s="15"/>
    </row>
    <row r="9" spans="1:24" x14ac:dyDescent="0.3">
      <c r="A9" s="15"/>
      <c r="B9" s="15"/>
      <c r="C9" s="15"/>
      <c r="D9" s="15"/>
      <c r="E9" s="15"/>
      <c r="F9" s="15"/>
      <c r="G9" s="15"/>
      <c r="H9" s="15"/>
      <c r="I9" s="15"/>
      <c r="J9" s="15"/>
      <c r="K9" s="15"/>
      <c r="L9" s="15"/>
      <c r="M9" s="15"/>
      <c r="N9" s="15"/>
      <c r="O9" s="15"/>
      <c r="P9" s="15"/>
      <c r="Q9" s="15"/>
      <c r="R9" s="15"/>
      <c r="S9" s="15"/>
      <c r="T9" s="15"/>
      <c r="U9" s="15"/>
      <c r="V9" s="15"/>
      <c r="W9" s="15"/>
      <c r="X9" s="15"/>
    </row>
    <row r="10" spans="1:24" x14ac:dyDescent="0.3">
      <c r="A10" s="15"/>
      <c r="B10" s="15"/>
      <c r="C10" s="15"/>
      <c r="D10" s="15"/>
      <c r="E10" s="15"/>
      <c r="F10" s="15"/>
      <c r="G10" s="15"/>
      <c r="H10" s="15"/>
      <c r="I10" s="15"/>
      <c r="J10" s="15"/>
      <c r="K10" s="15"/>
      <c r="L10" s="15"/>
      <c r="M10" s="15"/>
      <c r="N10" s="15"/>
      <c r="O10" s="15"/>
      <c r="P10" s="15"/>
      <c r="Q10" s="15"/>
      <c r="R10" s="15"/>
      <c r="S10" s="15"/>
      <c r="T10" s="15"/>
      <c r="U10" s="15"/>
      <c r="V10" s="15"/>
      <c r="W10" s="15"/>
      <c r="X10" s="15"/>
    </row>
    <row r="11" spans="1:24" x14ac:dyDescent="0.3">
      <c r="A11" s="15"/>
      <c r="B11" s="15"/>
      <c r="C11" s="15"/>
      <c r="D11" s="15"/>
      <c r="E11" s="15"/>
      <c r="F11" s="15"/>
      <c r="G11" s="15"/>
      <c r="H11" s="15"/>
      <c r="I11" s="15"/>
      <c r="J11" s="15"/>
      <c r="K11" s="15"/>
      <c r="L11" s="15"/>
      <c r="M11" s="15"/>
      <c r="N11" s="15"/>
      <c r="O11" s="15"/>
      <c r="P11" s="15"/>
      <c r="Q11" s="15"/>
      <c r="R11" s="15"/>
      <c r="S11" s="15"/>
      <c r="T11" s="15"/>
      <c r="U11" s="15"/>
      <c r="V11" s="15"/>
      <c r="W11" s="15"/>
      <c r="X11" s="15"/>
    </row>
    <row r="12" spans="1:24"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row>
    <row r="14" spans="1:24"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row>
    <row r="15" spans="1:24"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4"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row>
    <row r="18" spans="1:24"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row>
    <row r="19" spans="1:24"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4"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row>
    <row r="21" spans="1:24"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row>
    <row r="22" spans="1:24"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row>
    <row r="23" spans="1:24"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row>
    <row r="24" spans="1:24"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row>
    <row r="25" spans="1:24"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row>
    <row r="26" spans="1:24"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row>
    <row r="27" spans="1:24"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row>
    <row r="28" spans="1:24"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row>
    <row r="29" spans="1:24"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row>
    <row r="30" spans="1:24"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row>
    <row r="31" spans="1:24"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row>
    <row r="32" spans="1:24"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row>
    <row r="33" spans="1:24"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row>
    <row r="34" spans="1:24"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row>
    <row r="35" spans="1:24"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row>
    <row r="36" spans="1:24" x14ac:dyDescent="0.3">
      <c r="A36" s="15" t="s">
        <v>75</v>
      </c>
      <c r="B36" s="15"/>
      <c r="C36" s="15"/>
      <c r="D36" s="15"/>
      <c r="E36" s="15"/>
      <c r="F36" s="15"/>
      <c r="G36" s="15"/>
      <c r="H36" s="15"/>
      <c r="I36" s="15"/>
      <c r="J36" s="15"/>
      <c r="K36" s="15"/>
      <c r="L36" s="15"/>
      <c r="M36" s="15"/>
      <c r="N36" s="15"/>
      <c r="O36" s="15"/>
      <c r="P36" s="15"/>
      <c r="Q36" s="15"/>
      <c r="R36" s="15"/>
      <c r="S36" s="15"/>
      <c r="T36" s="15"/>
      <c r="U36" s="15"/>
      <c r="V36" s="15"/>
      <c r="W36" s="15"/>
      <c r="X36" s="15"/>
    </row>
    <row r="37" spans="1:24"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row>
    <row r="38" spans="1:24"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row>
    <row r="39" spans="1:24"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7183" r:id="rId4">
          <objectPr defaultSize="0" r:id="rId5">
            <anchor moveWithCells="1">
              <from>
                <xdr:col>0</xdr:col>
                <xdr:colOff>144780</xdr:colOff>
                <xdr:row>1</xdr:row>
                <xdr:rowOff>0</xdr:rowOff>
              </from>
              <to>
                <xdr:col>7</xdr:col>
                <xdr:colOff>289560</xdr:colOff>
                <xdr:row>16</xdr:row>
                <xdr:rowOff>7620</xdr:rowOff>
              </to>
            </anchor>
          </objectPr>
        </oleObject>
      </mc:Choice>
      <mc:Fallback>
        <oleObject progId="Document" shapeId="7183" r:id="rId4"/>
      </mc:Fallback>
    </mc:AlternateContent>
    <mc:AlternateContent xmlns:mc="http://schemas.openxmlformats.org/markup-compatibility/2006">
      <mc:Choice Requires="x14">
        <oleObject progId="Document" shapeId="7184" r:id="rId6">
          <objectPr defaultSize="0" autoPict="0" r:id="rId7">
            <anchor moveWithCells="1">
              <from>
                <xdr:col>15</xdr:col>
                <xdr:colOff>670560</xdr:colOff>
                <xdr:row>1</xdr:row>
                <xdr:rowOff>0</xdr:rowOff>
              </from>
              <to>
                <xdr:col>23</xdr:col>
                <xdr:colOff>236220</xdr:colOff>
                <xdr:row>19</xdr:row>
                <xdr:rowOff>68580</xdr:rowOff>
              </to>
            </anchor>
          </objectPr>
        </oleObject>
      </mc:Choice>
      <mc:Fallback>
        <oleObject progId="Document" shapeId="7184" r:id="rId6"/>
      </mc:Fallback>
    </mc:AlternateContent>
    <mc:AlternateContent xmlns:mc="http://schemas.openxmlformats.org/markup-compatibility/2006">
      <mc:Choice Requires="x14">
        <oleObject progId="Document" shapeId="7185" r:id="rId8">
          <objectPr defaultSize="0" r:id="rId9">
            <anchor moveWithCells="1">
              <from>
                <xdr:col>8</xdr:col>
                <xdr:colOff>22860</xdr:colOff>
                <xdr:row>1</xdr:row>
                <xdr:rowOff>0</xdr:rowOff>
              </from>
              <to>
                <xdr:col>15</xdr:col>
                <xdr:colOff>160020</xdr:colOff>
                <xdr:row>25</xdr:row>
                <xdr:rowOff>160020</xdr:rowOff>
              </to>
            </anchor>
          </objectPr>
        </oleObject>
      </mc:Choice>
      <mc:Fallback>
        <oleObject progId="Document" shapeId="7185" r:id="rId8"/>
      </mc:Fallback>
    </mc:AlternateContent>
    <mc:AlternateContent xmlns:mc="http://schemas.openxmlformats.org/markup-compatibility/2006">
      <mc:Choice Requires="x14">
        <oleObject progId="Document" shapeId="7189" r:id="rId10">
          <objectPr defaultSize="0" autoPict="0" r:id="rId11">
            <anchor moveWithCells="1">
              <from>
                <xdr:col>15</xdr:col>
                <xdr:colOff>670560</xdr:colOff>
                <xdr:row>18</xdr:row>
                <xdr:rowOff>99060</xdr:rowOff>
              </from>
              <to>
                <xdr:col>23</xdr:col>
                <xdr:colOff>274320</xdr:colOff>
                <xdr:row>33</xdr:row>
                <xdr:rowOff>60960</xdr:rowOff>
              </to>
            </anchor>
          </objectPr>
        </oleObject>
      </mc:Choice>
      <mc:Fallback>
        <oleObject progId="Document" shapeId="7189" r:id="rId10"/>
      </mc:Fallback>
    </mc:AlternateContent>
    <mc:AlternateContent xmlns:mc="http://schemas.openxmlformats.org/markup-compatibility/2006">
      <mc:Choice Requires="x14">
        <oleObject progId="Document" shapeId="7190" r:id="rId12">
          <objectPr defaultSize="0" r:id="rId13">
            <anchor moveWithCells="1">
              <from>
                <xdr:col>0</xdr:col>
                <xdr:colOff>144780</xdr:colOff>
                <xdr:row>15</xdr:row>
                <xdr:rowOff>175260</xdr:rowOff>
              </from>
              <to>
                <xdr:col>7</xdr:col>
                <xdr:colOff>297180</xdr:colOff>
                <xdr:row>34</xdr:row>
                <xdr:rowOff>7620</xdr:rowOff>
              </to>
            </anchor>
          </objectPr>
        </oleObject>
      </mc:Choice>
      <mc:Fallback>
        <oleObject progId="Document" shapeId="7190" r:id="rId1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1AC12-E906-49CD-A621-F0AC3A7C5BF3}">
  <sheetPr>
    <tabColor theme="8" tint="0.79998168889431442"/>
  </sheetPr>
  <dimension ref="A1:D6"/>
  <sheetViews>
    <sheetView workbookViewId="0">
      <selection activeCell="C15" sqref="C15"/>
    </sheetView>
  </sheetViews>
  <sheetFormatPr baseColWidth="10" defaultColWidth="11.44140625" defaultRowHeight="14.4" x14ac:dyDescent="0.3"/>
  <cols>
    <col min="1" max="1" width="27.5546875" customWidth="1"/>
    <col min="2" max="3" width="18.6640625" bestFit="1" customWidth="1"/>
    <col min="4" max="4" width="18.33203125" bestFit="1" customWidth="1"/>
  </cols>
  <sheetData>
    <row r="1" spans="1:4" x14ac:dyDescent="0.3">
      <c r="A1" s="31" t="s">
        <v>10</v>
      </c>
      <c r="B1" s="31" t="s">
        <v>11</v>
      </c>
      <c r="C1" s="31" t="s">
        <v>12</v>
      </c>
      <c r="D1" s="31" t="s">
        <v>13</v>
      </c>
    </row>
    <row r="2" spans="1:4" x14ac:dyDescent="0.3">
      <c r="A2" s="32" t="s">
        <v>14</v>
      </c>
      <c r="B2" s="32" t="s">
        <v>15</v>
      </c>
      <c r="C2" s="32">
        <v>1</v>
      </c>
      <c r="D2" s="32">
        <v>1.7789999999999999</v>
      </c>
    </row>
    <row r="3" spans="1:4" x14ac:dyDescent="0.3">
      <c r="A3" s="32" t="s">
        <v>16</v>
      </c>
      <c r="B3" s="32" t="s">
        <v>15</v>
      </c>
      <c r="C3" s="32">
        <v>1</v>
      </c>
      <c r="D3" s="32">
        <v>0.30740000000000001</v>
      </c>
    </row>
    <row r="4" spans="1:4" x14ac:dyDescent="0.3">
      <c r="A4" s="32" t="s">
        <v>17</v>
      </c>
      <c r="B4" s="32" t="s">
        <v>18</v>
      </c>
      <c r="C4" s="32">
        <v>1</v>
      </c>
      <c r="D4" s="32">
        <v>1.0820000000000001</v>
      </c>
    </row>
    <row r="5" spans="1:4" x14ac:dyDescent="0.3">
      <c r="A5" s="32" t="s">
        <v>19</v>
      </c>
      <c r="B5" s="32" t="s">
        <v>18</v>
      </c>
      <c r="C5" s="32">
        <v>1</v>
      </c>
      <c r="D5" s="32">
        <v>1.3520000000000001</v>
      </c>
    </row>
    <row r="6" spans="1:4" x14ac:dyDescent="0.3">
      <c r="A6" s="32" t="s">
        <v>20</v>
      </c>
      <c r="B6" s="32" t="s">
        <v>18</v>
      </c>
      <c r="C6" s="32">
        <v>1</v>
      </c>
      <c r="D6" s="32">
        <v>0.77210000000000001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R88"/>
  <sheetViews>
    <sheetView zoomScale="85" zoomScaleNormal="85" zoomScaleSheetLayoutView="70" zoomScalePageLayoutView="85" workbookViewId="0">
      <selection activeCell="C9" sqref="C8:C9"/>
    </sheetView>
  </sheetViews>
  <sheetFormatPr baseColWidth="10" defaultColWidth="11.44140625" defaultRowHeight="15.6" x14ac:dyDescent="0.3"/>
  <cols>
    <col min="1" max="1" width="5.6640625" style="2" customWidth="1"/>
    <col min="2" max="2" width="6.6640625" style="2" customWidth="1"/>
    <col min="3" max="3" width="96" style="3" customWidth="1"/>
    <col min="4" max="13" width="17.33203125" style="2" customWidth="1"/>
    <col min="14" max="14" width="6.6640625" style="2" customWidth="1"/>
    <col min="15" max="15" width="5.6640625" style="2" customWidth="1"/>
    <col min="16" max="16384" width="11.44140625" style="2"/>
  </cols>
  <sheetData>
    <row r="1" spans="1:16" ht="102" customHeight="1" thickBot="1" x14ac:dyDescent="0.45">
      <c r="A1" s="5"/>
      <c r="B1" s="24"/>
      <c r="C1" s="102"/>
      <c r="D1" s="102"/>
      <c r="E1" s="102"/>
      <c r="F1" s="102"/>
      <c r="G1" s="102"/>
      <c r="H1" s="102"/>
      <c r="I1" s="102"/>
      <c r="J1" s="102"/>
      <c r="K1" s="102"/>
      <c r="L1" s="102"/>
      <c r="M1" s="102"/>
      <c r="N1" s="24"/>
      <c r="O1" s="5"/>
      <c r="P1" s="5"/>
    </row>
    <row r="2" spans="1:16" ht="21.6" thickBot="1" x14ac:dyDescent="0.45">
      <c r="A2" s="5"/>
      <c r="B2" s="24"/>
      <c r="C2" s="95" t="s">
        <v>21</v>
      </c>
      <c r="D2" s="59"/>
      <c r="E2" s="59"/>
      <c r="F2" s="48"/>
      <c r="G2" s="48"/>
      <c r="H2" s="48"/>
      <c r="I2" s="59"/>
      <c r="J2" s="59"/>
      <c r="K2" s="59"/>
      <c r="L2" s="48"/>
      <c r="M2" s="60"/>
      <c r="N2" s="24"/>
      <c r="O2" s="5"/>
      <c r="P2" s="5"/>
    </row>
    <row r="3" spans="1:16" ht="15" customHeight="1" thickBot="1" x14ac:dyDescent="0.35">
      <c r="A3" s="5"/>
      <c r="B3" s="24"/>
      <c r="C3" s="64" t="s">
        <v>22</v>
      </c>
      <c r="D3" s="98"/>
      <c r="E3" s="99"/>
      <c r="F3" s="5"/>
      <c r="G3" s="5"/>
      <c r="H3" s="5"/>
      <c r="I3" s="5"/>
      <c r="J3" s="45" t="s">
        <v>23</v>
      </c>
      <c r="K3" s="98" t="s">
        <v>14</v>
      </c>
      <c r="L3" s="99"/>
      <c r="M3" s="61"/>
      <c r="N3" s="24"/>
      <c r="O3" s="5"/>
      <c r="P3" s="5"/>
    </row>
    <row r="4" spans="1:16" ht="15" customHeight="1" thickBot="1" x14ac:dyDescent="0.35">
      <c r="A4" s="5"/>
      <c r="B4" s="24"/>
      <c r="C4" s="64" t="s">
        <v>24</v>
      </c>
      <c r="D4" s="100"/>
      <c r="E4" s="101"/>
      <c r="F4" s="5"/>
      <c r="G4" s="5"/>
      <c r="H4" s="5"/>
      <c r="I4" s="5"/>
      <c r="J4" s="5"/>
      <c r="K4" s="5"/>
      <c r="L4" s="5"/>
      <c r="M4" s="61"/>
      <c r="N4" s="24"/>
      <c r="O4" s="5"/>
      <c r="P4" s="5"/>
    </row>
    <row r="5" spans="1:16" ht="15" customHeight="1" thickBot="1" x14ac:dyDescent="0.35">
      <c r="A5" s="5"/>
      <c r="B5" s="24"/>
      <c r="C5" s="64" t="s">
        <v>25</v>
      </c>
      <c r="D5" s="98" t="s">
        <v>68</v>
      </c>
      <c r="E5" s="99"/>
      <c r="F5" s="24" t="s">
        <v>66</v>
      </c>
      <c r="G5" s="5"/>
      <c r="H5" s="5"/>
      <c r="I5" s="5"/>
      <c r="J5" s="45" t="s">
        <v>26</v>
      </c>
      <c r="K5" s="100"/>
      <c r="L5" s="101"/>
      <c r="M5" s="61"/>
      <c r="N5" s="24"/>
      <c r="O5" s="5"/>
      <c r="P5" s="5"/>
    </row>
    <row r="6" spans="1:16" ht="15" customHeight="1" thickBot="1" x14ac:dyDescent="0.35">
      <c r="A6" s="5"/>
      <c r="B6" s="24"/>
      <c r="C6" s="64"/>
      <c r="D6" s="5"/>
      <c r="E6" s="24"/>
      <c r="F6" s="24"/>
      <c r="G6" s="24"/>
      <c r="H6" s="5"/>
      <c r="I6" s="24"/>
      <c r="J6" s="78" t="s">
        <v>27</v>
      </c>
      <c r="K6" s="100" t="s">
        <v>68</v>
      </c>
      <c r="L6" s="101"/>
      <c r="M6" s="61"/>
      <c r="N6" s="24"/>
      <c r="O6" s="5"/>
      <c r="P6" s="5"/>
    </row>
    <row r="7" spans="1:16" ht="15" customHeight="1" thickBot="1" x14ac:dyDescent="0.35">
      <c r="A7" s="5"/>
      <c r="B7" s="24"/>
      <c r="C7" s="64" t="str" cm="1">
        <f t="array" ref="C7">_xlfn.IFS($D$13="19","Intensité réelle moyenne : ",$D$13="20","Intensité réelle moyenne du secteur pour 2017-2019 : ",$D$13="21 et 22","",$D$13="23 et 24","",$D$13="","Intensité réelle moyenne : ")</f>
        <v xml:space="preserve">Intensité réelle moyenne : </v>
      </c>
      <c r="D7" s="96"/>
      <c r="E7" s="97"/>
      <c r="F7" s="24"/>
      <c r="G7" s="24"/>
      <c r="H7" s="5"/>
      <c r="I7" s="24"/>
      <c r="J7" s="5"/>
      <c r="K7" s="105"/>
      <c r="L7" s="105"/>
      <c r="M7" s="61"/>
      <c r="N7" s="24"/>
      <c r="O7" s="5"/>
      <c r="P7" s="5"/>
    </row>
    <row r="8" spans="1:16" ht="15" customHeight="1" thickBot="1" x14ac:dyDescent="0.35">
      <c r="A8" s="5"/>
      <c r="B8" s="24"/>
      <c r="C8" s="64"/>
      <c r="D8" s="24"/>
      <c r="E8" s="24"/>
      <c r="F8" s="24"/>
      <c r="G8" s="24"/>
      <c r="H8" s="5"/>
      <c r="I8" s="24"/>
      <c r="J8" s="24"/>
      <c r="K8" s="24"/>
      <c r="L8" s="24"/>
      <c r="M8" s="61"/>
      <c r="N8" s="24"/>
      <c r="O8" s="5"/>
      <c r="P8" s="5"/>
    </row>
    <row r="9" spans="1:16" ht="16.2" thickBot="1" x14ac:dyDescent="0.35">
      <c r="A9" s="5"/>
      <c r="B9" s="24"/>
      <c r="C9" s="64" t="s">
        <v>28</v>
      </c>
      <c r="D9" s="98"/>
      <c r="E9" s="99"/>
      <c r="F9" s="77" t="s">
        <v>29</v>
      </c>
      <c r="G9" s="24"/>
      <c r="H9" s="24"/>
      <c r="I9" s="24"/>
      <c r="J9" s="24"/>
      <c r="K9" s="24"/>
      <c r="L9" s="24"/>
      <c r="M9" s="61"/>
      <c r="N9" s="24"/>
      <c r="O9" s="5"/>
      <c r="P9" s="5"/>
    </row>
    <row r="10" spans="1:16" ht="15" customHeight="1" thickBot="1" x14ac:dyDescent="0.35">
      <c r="A10" s="5"/>
      <c r="B10" s="24"/>
      <c r="C10" s="64" t="s">
        <v>30</v>
      </c>
      <c r="D10" s="103"/>
      <c r="E10" s="104"/>
      <c r="F10" s="77" t="s">
        <v>29</v>
      </c>
      <c r="G10" s="24"/>
      <c r="H10" s="24"/>
      <c r="I10" s="24"/>
      <c r="J10" s="24"/>
      <c r="K10" s="24"/>
      <c r="L10" s="24"/>
      <c r="M10" s="61"/>
      <c r="N10" s="24"/>
      <c r="O10" s="5"/>
      <c r="P10" s="5"/>
    </row>
    <row r="11" spans="1:16" ht="15" customHeight="1" thickBot="1" x14ac:dyDescent="0.35">
      <c r="A11" s="5"/>
      <c r="B11" s="24"/>
      <c r="C11" s="64" t="str">
        <f>IF($D$4&lt;2024,"Intensité cible en 2023 : ","Intensité de départ : ")</f>
        <v xml:space="preserve">Intensité cible en 2023 : </v>
      </c>
      <c r="D11" s="96"/>
      <c r="E11" s="97"/>
      <c r="F11" s="24"/>
      <c r="G11" s="24"/>
      <c r="H11" s="24"/>
      <c r="I11" s="24"/>
      <c r="J11" s="24"/>
      <c r="K11" s="24"/>
      <c r="L11" s="24"/>
      <c r="M11" s="61"/>
      <c r="N11" s="24"/>
      <c r="O11" s="5"/>
      <c r="P11" s="5"/>
    </row>
    <row r="12" spans="1:16" ht="15" customHeight="1" x14ac:dyDescent="0.3">
      <c r="A12" s="5"/>
      <c r="B12" s="24"/>
      <c r="C12" s="64"/>
      <c r="D12" s="24"/>
      <c r="E12" s="24"/>
      <c r="F12" s="24"/>
      <c r="G12" s="24"/>
      <c r="H12" s="24"/>
      <c r="I12" s="24"/>
      <c r="J12" s="24"/>
      <c r="K12" s="24"/>
      <c r="L12" s="24"/>
      <c r="M12" s="61"/>
      <c r="N12" s="24"/>
      <c r="O12" s="5"/>
      <c r="P12" s="5"/>
    </row>
    <row r="13" spans="1:16" ht="15" customHeight="1" x14ac:dyDescent="0.3">
      <c r="A13" s="5"/>
      <c r="B13" s="24"/>
      <c r="C13" s="64" t="s">
        <v>67</v>
      </c>
      <c r="D13" s="94" t="str" cm="1">
        <f t="array" ref="D13">IFERROR(_xlfn.IFS($D$3="","",$D$3="Base sectorielle","20",$D$4&lt;2024,"19",$D$5="Oui","21 et 22",$D$5="Non","23 et 24"),"")</f>
        <v/>
      </c>
      <c r="E13" s="24"/>
      <c r="F13" s="24"/>
      <c r="G13" s="24"/>
      <c r="H13" s="24"/>
      <c r="I13" s="24"/>
      <c r="J13" s="24"/>
      <c r="K13" s="24"/>
      <c r="L13" s="24"/>
      <c r="M13" s="61"/>
      <c r="N13" s="24"/>
      <c r="O13" s="5"/>
      <c r="P13" s="5"/>
    </row>
    <row r="14" spans="1:16" ht="20.100000000000001" customHeight="1" thickBot="1" x14ac:dyDescent="0.35">
      <c r="A14" s="5"/>
      <c r="B14" s="24"/>
      <c r="C14" s="65"/>
      <c r="D14" s="43"/>
      <c r="E14" s="43"/>
      <c r="F14" s="43"/>
      <c r="G14" s="43"/>
      <c r="H14" s="43"/>
      <c r="I14" s="43"/>
      <c r="J14" s="43"/>
      <c r="K14" s="43"/>
      <c r="L14" s="43"/>
      <c r="M14" s="66"/>
      <c r="N14" s="5"/>
      <c r="O14" s="5"/>
      <c r="P14" s="5"/>
    </row>
    <row r="15" spans="1:16" ht="20.100000000000001" customHeight="1" thickBot="1" x14ac:dyDescent="0.35">
      <c r="A15" s="5"/>
      <c r="B15" s="24"/>
      <c r="C15" s="25"/>
      <c r="D15" s="24"/>
      <c r="E15" s="24"/>
      <c r="F15" s="24"/>
      <c r="G15" s="24"/>
      <c r="H15" s="24"/>
      <c r="I15" s="24"/>
      <c r="J15" s="24"/>
      <c r="K15" s="24"/>
      <c r="L15" s="24"/>
      <c r="M15" s="24"/>
      <c r="N15" s="24"/>
      <c r="O15" s="5"/>
      <c r="P15" s="5"/>
    </row>
    <row r="16" spans="1:16" ht="18.600000000000001" thickBot="1" x14ac:dyDescent="0.35">
      <c r="A16" s="5"/>
      <c r="B16" s="5"/>
      <c r="C16" s="8" t="s">
        <v>31</v>
      </c>
      <c r="D16" s="71">
        <v>2023</v>
      </c>
      <c r="E16" s="9">
        <v>2024</v>
      </c>
      <c r="F16" s="9">
        <v>2025</v>
      </c>
      <c r="G16" s="9">
        <v>2026</v>
      </c>
      <c r="H16" s="9">
        <v>2027</v>
      </c>
      <c r="I16" s="9">
        <v>2028</v>
      </c>
      <c r="J16" s="9">
        <v>2029</v>
      </c>
      <c r="K16" s="9">
        <v>2030</v>
      </c>
      <c r="L16" s="9">
        <v>2031</v>
      </c>
      <c r="M16" s="27">
        <v>2032</v>
      </c>
      <c r="N16" s="5"/>
      <c r="O16" s="5"/>
      <c r="P16" s="5"/>
    </row>
    <row r="17" spans="1:18" ht="16.2" thickBot="1" x14ac:dyDescent="0.35">
      <c r="A17" s="5"/>
      <c r="B17" s="5"/>
      <c r="C17" s="84" t="s">
        <v>32</v>
      </c>
      <c r="D17" s="46"/>
      <c r="E17" s="46"/>
      <c r="F17" s="46"/>
      <c r="G17" s="46"/>
      <c r="H17" s="46"/>
      <c r="I17" s="46"/>
      <c r="J17" s="46"/>
      <c r="K17" s="46"/>
      <c r="L17" s="29"/>
      <c r="M17" s="28"/>
      <c r="N17" s="5"/>
      <c r="O17" s="5"/>
      <c r="P17" s="5"/>
    </row>
    <row r="18" spans="1:18" ht="16.2" thickBot="1" x14ac:dyDescent="0.35">
      <c r="A18" s="5"/>
      <c r="B18" s="5"/>
      <c r="C18" s="85" t="s">
        <v>33</v>
      </c>
      <c r="D18" s="46"/>
      <c r="E18" s="46"/>
      <c r="F18" s="46"/>
      <c r="G18" s="46"/>
      <c r="H18" s="46"/>
      <c r="I18" s="46"/>
      <c r="J18" s="46"/>
      <c r="K18" s="46"/>
      <c r="L18" s="29"/>
      <c r="M18" s="28"/>
      <c r="N18" s="5"/>
      <c r="O18" s="5"/>
      <c r="P18" s="5"/>
    </row>
    <row r="19" spans="1:18" ht="16.2" thickBot="1" x14ac:dyDescent="0.35">
      <c r="A19" s="5"/>
      <c r="B19" s="5"/>
      <c r="C19" s="85" t="s">
        <v>34</v>
      </c>
      <c r="D19" s="46"/>
      <c r="E19" s="46"/>
      <c r="F19" s="46"/>
      <c r="G19" s="46"/>
      <c r="H19" s="46"/>
      <c r="I19" s="46"/>
      <c r="J19" s="46"/>
      <c r="K19" s="46"/>
      <c r="L19" s="29"/>
      <c r="M19" s="28"/>
      <c r="N19" s="5"/>
      <c r="O19" s="5"/>
      <c r="P19" s="5"/>
    </row>
    <row r="20" spans="1:18" ht="16.2" thickBot="1" x14ac:dyDescent="0.35">
      <c r="A20" s="5"/>
      <c r="B20" s="5"/>
      <c r="C20" s="85" t="s">
        <v>35</v>
      </c>
      <c r="D20" s="46"/>
      <c r="E20" s="46"/>
      <c r="F20" s="46"/>
      <c r="G20" s="46"/>
      <c r="H20" s="46"/>
      <c r="I20" s="46"/>
      <c r="J20" s="46"/>
      <c r="K20" s="46"/>
      <c r="L20" s="29"/>
      <c r="M20" s="28"/>
      <c r="N20" s="5"/>
      <c r="O20" s="5"/>
      <c r="P20" s="5"/>
    </row>
    <row r="21" spans="1:18" ht="16.2" thickBot="1" x14ac:dyDescent="0.35">
      <c r="A21" s="5"/>
      <c r="B21" s="5"/>
      <c r="C21" s="85" t="s">
        <v>36</v>
      </c>
      <c r="D21" s="7"/>
      <c r="E21" s="7"/>
      <c r="F21" s="7"/>
      <c r="G21" s="7"/>
      <c r="H21" s="7"/>
      <c r="I21" s="7"/>
      <c r="J21" s="7"/>
      <c r="K21" s="7"/>
      <c r="L21" s="29"/>
      <c r="M21" s="28"/>
      <c r="N21" s="5"/>
      <c r="O21" s="5"/>
      <c r="P21" s="5"/>
    </row>
    <row r="22" spans="1:18" ht="6" customHeight="1" x14ac:dyDescent="0.3">
      <c r="A22" s="5"/>
      <c r="B22" s="5"/>
      <c r="C22" s="86"/>
      <c r="D22" s="33"/>
      <c r="E22" s="33"/>
      <c r="F22" s="33"/>
      <c r="G22" s="33"/>
      <c r="H22" s="33"/>
      <c r="I22" s="33"/>
      <c r="J22" s="33"/>
      <c r="K22" s="33"/>
      <c r="L22" s="33"/>
      <c r="M22" s="4"/>
      <c r="N22" s="5"/>
      <c r="O22" s="5"/>
      <c r="P22" s="5"/>
    </row>
    <row r="23" spans="1:18" x14ac:dyDescent="0.3">
      <c r="A23" s="5"/>
      <c r="B23" s="5"/>
      <c r="C23" s="85" t="s">
        <v>37</v>
      </c>
      <c r="D23" s="38">
        <f>D17+D18+D19</f>
        <v>0</v>
      </c>
      <c r="E23" s="38">
        <f t="shared" ref="E23:K23" si="0">E17+E18+E19</f>
        <v>0</v>
      </c>
      <c r="F23" s="38">
        <f t="shared" si="0"/>
        <v>0</v>
      </c>
      <c r="G23" s="38">
        <f t="shared" si="0"/>
        <v>0</v>
      </c>
      <c r="H23" s="38">
        <f t="shared" si="0"/>
        <v>0</v>
      </c>
      <c r="I23" s="38">
        <f t="shared" si="0"/>
        <v>0</v>
      </c>
      <c r="J23" s="38">
        <f t="shared" si="0"/>
        <v>0</v>
      </c>
      <c r="K23" s="38">
        <f t="shared" si="0"/>
        <v>0</v>
      </c>
      <c r="L23" s="29"/>
      <c r="M23" s="28"/>
      <c r="N23" s="5"/>
      <c r="O23" s="5"/>
      <c r="P23" s="5"/>
    </row>
    <row r="24" spans="1:18" x14ac:dyDescent="0.3">
      <c r="A24" s="5"/>
      <c r="B24" s="5"/>
      <c r="C24" s="85" t="s">
        <v>38</v>
      </c>
      <c r="D24" s="73" t="str">
        <f>IFERROR(D17/D23,"")</f>
        <v/>
      </c>
      <c r="E24" s="73" t="str">
        <f>IFERROR(E17/E23,"")</f>
        <v/>
      </c>
      <c r="F24" s="73" t="str">
        <f t="shared" ref="F24:K24" si="1">IFERROR(F17/F23,"")</f>
        <v/>
      </c>
      <c r="G24" s="73" t="str">
        <f t="shared" si="1"/>
        <v/>
      </c>
      <c r="H24" s="73" t="str">
        <f t="shared" si="1"/>
        <v/>
      </c>
      <c r="I24" s="73" t="str">
        <f t="shared" si="1"/>
        <v/>
      </c>
      <c r="J24" s="73" t="str">
        <f t="shared" si="1"/>
        <v/>
      </c>
      <c r="K24" s="73" t="str">
        <f t="shared" si="1"/>
        <v/>
      </c>
      <c r="L24" s="29"/>
      <c r="M24" s="28"/>
      <c r="N24" s="5"/>
      <c r="O24" s="5"/>
      <c r="P24" s="5"/>
    </row>
    <row r="25" spans="1:18" x14ac:dyDescent="0.3">
      <c r="A25" s="5"/>
      <c r="B25" s="5"/>
      <c r="C25" s="87" t="s">
        <v>39</v>
      </c>
      <c r="D25" s="80" t="str">
        <f t="shared" ref="D25:K25" si="2">IFERROR(D23/D20,"")</f>
        <v/>
      </c>
      <c r="E25" s="80" t="str">
        <f t="shared" si="2"/>
        <v/>
      </c>
      <c r="F25" s="80" t="str">
        <f t="shared" si="2"/>
        <v/>
      </c>
      <c r="G25" s="80" t="str">
        <f t="shared" si="2"/>
        <v/>
      </c>
      <c r="H25" s="80" t="str">
        <f t="shared" si="2"/>
        <v/>
      </c>
      <c r="I25" s="80" t="str">
        <f t="shared" si="2"/>
        <v/>
      </c>
      <c r="J25" s="80" t="str">
        <f t="shared" si="2"/>
        <v/>
      </c>
      <c r="K25" s="80" t="str">
        <f t="shared" si="2"/>
        <v/>
      </c>
      <c r="L25" s="29"/>
      <c r="M25" s="28"/>
      <c r="N25" s="5"/>
      <c r="O25" s="5"/>
      <c r="P25" s="5"/>
    </row>
    <row r="26" spans="1:18" ht="6" customHeight="1" x14ac:dyDescent="0.3">
      <c r="A26" s="5"/>
      <c r="B26" s="5"/>
      <c r="C26" s="86"/>
      <c r="D26" s="33"/>
      <c r="E26" s="33"/>
      <c r="F26" s="33"/>
      <c r="G26" s="33"/>
      <c r="H26" s="33"/>
      <c r="I26" s="33"/>
      <c r="J26" s="33"/>
      <c r="K26" s="33"/>
      <c r="L26" s="33"/>
      <c r="M26" s="4"/>
      <c r="N26" s="5"/>
      <c r="O26" s="5"/>
      <c r="P26" s="5"/>
    </row>
    <row r="27" spans="1:18" ht="15.75" customHeight="1" x14ac:dyDescent="0.3">
      <c r="A27" s="5"/>
      <c r="B27" s="5"/>
      <c r="C27" s="85" t="s">
        <v>40</v>
      </c>
      <c r="D27" s="34" cm="1">
        <f t="array" ref="D27">IFERROR(_xlfn.IFS(AND($D$3="Base sectorielle",D$16=2023),_xlfn.XLOOKUP($K$3,'Données sectorielles'!$A$2:$A$6,'Données sectorielles'!$D$2:$D$6),$D$3="Base sectorielle",0.9*C$27+0.1*$D$7,$D$4&lt;2023,IF(D$16=2023,$D$11,0.9*C$27+0.1*$D$7),D$16&lt;$D$4,"",D$16=$D$4,$D$11,D$16&gt;$D$4,0.9*C$27+0.1*$D$7),"")</f>
        <v>0</v>
      </c>
      <c r="E27" s="34" t="e" cm="1">
        <f t="array" ref="E27">_xlfn.IFS($D$13="19",0.9*D27+0.1*$D$7,$D$13="20",0.9*D27+0.1*$D$7,$D$13="21 et 22",$D$11,$D$13="23 et 24",$D$11)</f>
        <v>#N/A</v>
      </c>
      <c r="F27" s="34" t="e" cm="1">
        <f t="array" ref="F27">_xlfn.IFS($D$13="19",0.9*E27+0.1*$D$7,$D$13="20",0.9*E27+0.1*$D$7,$D$13="21 et 22",$D$11,$D$13="23 et 24",$D$11)</f>
        <v>#N/A</v>
      </c>
      <c r="G27" s="34" t="e" cm="1">
        <f t="array" ref="G27">_xlfn.IFS($D$13="19",0.9*F27+0.1*$D$7,$D$13="20",0.9*F27+0.1*$D$7,$D$13="21 et 22",$D$11,$D$13="23 et 24",$D$11)</f>
        <v>#N/A</v>
      </c>
      <c r="H27" s="34" t="e" cm="1">
        <f t="array" ref="H27">_xlfn.IFS($D$13="19",0.9*G27+0.1*$D$7,$D$13="20",0.9*G27+0.1*$D$7,$D$13="21 et 22",$D$11,$D$13="23 et 24",$D$11)</f>
        <v>#N/A</v>
      </c>
      <c r="I27" s="34" t="e" cm="1">
        <f t="array" ref="I27">_xlfn.IFS($D$13="19",0.9*H27+0.1*$D$7,$D$13="20",0.9*H27+0.1*$D$7,$D$13="21 et 22",$D$11,$D$13="23 et 24",$D$11)</f>
        <v>#N/A</v>
      </c>
      <c r="J27" s="34" t="e" cm="1">
        <f t="array" ref="J27">_xlfn.IFS($D$13="19",0.9*I27+0.1*$D$7,$D$13="20",0.9*I27+0.1*$D$7,$D$13="21 et 22",$D$11,$D$13="23 et 24",$D$11)</f>
        <v>#N/A</v>
      </c>
      <c r="K27" s="34" t="e" cm="1">
        <f t="array" ref="K27">_xlfn.IFS($D$13="19",0.9*J27+0.1*$D$7,$D$13="20",0.9*J27+0.1*$D$7,$D$13="21 et 22",$D$11,$D$13="23 et 24",$D$11)</f>
        <v>#N/A</v>
      </c>
      <c r="L27" s="29"/>
      <c r="M27" s="28"/>
      <c r="N27" s="5"/>
      <c r="O27" s="5"/>
      <c r="P27" s="5"/>
      <c r="R27" s="68"/>
    </row>
    <row r="28" spans="1:18" ht="6" customHeight="1" x14ac:dyDescent="0.3">
      <c r="A28" s="5"/>
      <c r="B28" s="5"/>
      <c r="C28" s="91" t="str" cm="1">
        <f t="array" ref="C28">_xlfn.IFS($D$3="Base sectorielle","Intensité réelle moyenne du secteur pour 2017-2019",$D$4&lt;2021,"Intensité réelle moyenne pour 2017-2019",$D$4&gt;=2021,"Intensité réelle moyenne de référence")</f>
        <v>Intensité réelle moyenne pour 2017-2019</v>
      </c>
      <c r="D28" s="92">
        <f t="shared" ref="D28:K28" si="3">IF(D$16&lt;$D$4,"",$D$7)</f>
        <v>0</v>
      </c>
      <c r="E28" s="92">
        <f t="shared" si="3"/>
        <v>0</v>
      </c>
      <c r="F28" s="92">
        <f t="shared" si="3"/>
        <v>0</v>
      </c>
      <c r="G28" s="92">
        <f t="shared" si="3"/>
        <v>0</v>
      </c>
      <c r="H28" s="92">
        <f t="shared" si="3"/>
        <v>0</v>
      </c>
      <c r="I28" s="92">
        <f t="shared" si="3"/>
        <v>0</v>
      </c>
      <c r="J28" s="92">
        <f t="shared" si="3"/>
        <v>0</v>
      </c>
      <c r="K28" s="92">
        <f t="shared" si="3"/>
        <v>0</v>
      </c>
      <c r="L28" s="92"/>
      <c r="M28" s="93"/>
      <c r="N28" s="5"/>
      <c r="O28" s="5"/>
      <c r="P28" s="5"/>
      <c r="R28" s="68"/>
    </row>
    <row r="29" spans="1:18" ht="15.75" customHeight="1" x14ac:dyDescent="0.3">
      <c r="A29" s="5"/>
      <c r="B29" s="5"/>
      <c r="C29" s="85" t="s">
        <v>41</v>
      </c>
      <c r="D29" s="79" t="str" cm="1">
        <f t="array" ref="D29">_xlfn.IFS($D$3="Base sectorielle","",$D$4&lt;2021,"",D$16&lt;$D$4,"",D$16&lt;$K$5,"",D$16&lt;$K$5+4,"Oui",D$16=$K$5+4,"Non",D$16&gt;$K$5+4,"Non")</f>
        <v/>
      </c>
      <c r="E29" s="79" t="str" cm="1">
        <f t="array" ref="E29">_xlfn.IFS($D$3="Base sectorielle","",$D$4&lt;2021,"",E$16&lt;$D$4,"",E$16&lt;$K$5,"",E$16&lt;$K$5+4,"Oui",E$16=$K$5+4,"Non",E$16&gt;$K$5+4,"Non")</f>
        <v/>
      </c>
      <c r="F29" s="79" t="str" cm="1">
        <f t="array" ref="F29">_xlfn.IFS($D$3="Base sectorielle","",$D$4&lt;2021,"",F$16&lt;$D$4,"",F$16&lt;$K$5,"",F$16&lt;$K$5+4,"Oui",F$16=$K$5+4,"Non",F$16&gt;$K$5+4,"Non")</f>
        <v/>
      </c>
      <c r="G29" s="79" t="str" cm="1">
        <f t="array" ref="G29">_xlfn.IFS($D$3="Base sectorielle","",$D$4&lt;2021,"",G$16&lt;$D$4,"",G$16&lt;$K$5,"",G$16&lt;$K$5+4,"Oui",G$16=$K$5+4,"Non",G$16&gt;$K$5+4,"Non")</f>
        <v/>
      </c>
      <c r="H29" s="79" t="str" cm="1">
        <f t="array" ref="H29">_xlfn.IFS($D$3="Base sectorielle","",$D$4&lt;2021,"",H$16&lt;$D$4,"",H$16&lt;$K$5,"",H$16&lt;$K$5+4,"Oui",H$16=$K$5+4,"Non",H$16&gt;$K$5+4,"Non")</f>
        <v/>
      </c>
      <c r="I29" s="79" t="str" cm="1">
        <f t="array" ref="I29">_xlfn.IFS($D$3="Base sectorielle","",$D$4&lt;2021,"",I$16&lt;$D$4,"",I$16&lt;$K$5,"",I$16&lt;$K$5+4,"Oui",I$16=$K$5+4,"Non",I$16&gt;$K$5+4,"Non")</f>
        <v/>
      </c>
      <c r="J29" s="79" t="str" cm="1">
        <f t="array" ref="J29">_xlfn.IFS($D$3="Base sectorielle","",$D$4&lt;2021,"",J$16&lt;$D$4,"",J$16&lt;$K$5,"",J$16&lt;$K$5+4,"Oui",J$16=$K$5+4,"Non",J$16&gt;$K$5+4,"Non")</f>
        <v/>
      </c>
      <c r="K29" s="79" t="str" cm="1">
        <f t="array" ref="K29">_xlfn.IFS($D$3="Base sectorielle","",$D$4&lt;2021,"",K$16&lt;$D$4,"",K$16&lt;$K$5,"",K$16&lt;$K$5+4,"Oui",K$16=$K$5+4,"Non",K$16&gt;$K$5+4,"Non")</f>
        <v/>
      </c>
      <c r="L29" s="29"/>
      <c r="M29" s="28"/>
      <c r="N29" s="5"/>
      <c r="O29" s="5"/>
      <c r="P29" s="5"/>
    </row>
    <row r="30" spans="1:18" ht="15.75" customHeight="1" x14ac:dyDescent="0.3">
      <c r="A30" s="5"/>
      <c r="B30" s="5"/>
      <c r="C30" s="85" t="s">
        <v>42</v>
      </c>
      <c r="D30" s="82" t="str" cm="1">
        <f t="array" ref="D30">IFERROR(_xlfn.IFS(D$29="","",D$29="Non","",$K$6="Non",(69.53*1000+3.473*25+10.44*298)*0.000001,$K$6="Oui",(49.01*1000+0.966*25+0.861*298)*0.000001),"")</f>
        <v/>
      </c>
      <c r="E30" s="82" t="str" cm="1">
        <f t="array" ref="E30">IFERROR(_xlfn.IFS(E$29="","",E$29="Non","",$K$6="Non",(69.53*1000+3.473*25+10.44*298)*0.000001,$K$6="Oui",(49.01*1000+0.966*25+0.861*298)*0.000001),"")</f>
        <v/>
      </c>
      <c r="F30" s="82" t="str" cm="1">
        <f t="array" ref="F30">IFERROR(_xlfn.IFS(F$29="","",F$29="Non","",$K$6="Non",(69.53*1000+3.473*25+10.44*298)*0.000001,$K$6="Oui",(49.01*1000+0.966*25+0.861*298)*0.000001),"")</f>
        <v/>
      </c>
      <c r="G30" s="82" t="str" cm="1">
        <f t="array" ref="G30">IFERROR(_xlfn.IFS(G$29="","",G$29="Non","",$K$6="Non",(69.53*1000+3.473*25+10.44*298)*0.000001,$K$6="Oui",(49.01*1000+0.966*25+0.861*298)*0.000001),"")</f>
        <v/>
      </c>
      <c r="H30" s="82" t="str" cm="1">
        <f t="array" ref="H30">IFERROR(_xlfn.IFS(H$29="","",H$29="Non","",$K$6="Non",(69.53*1000+3.473*25+10.44*298)*0.000001,$K$6="Oui",(49.01*1000+0.966*25+0.861*298)*0.000001),"")</f>
        <v/>
      </c>
      <c r="I30" s="82" t="str" cm="1">
        <f t="array" ref="I30">IFERROR(_xlfn.IFS(I$29="","",I$29="Non","",$K$6="Non",(69.53*1000+3.473*25+10.44*298)*0.000001,$K$6="Oui",(49.01*1000+0.966*25+0.861*298)*0.000001),"")</f>
        <v/>
      </c>
      <c r="J30" s="82" t="str" cm="1">
        <f t="array" ref="J30">IFERROR(_xlfn.IFS(J$29="","",J$29="Non","",$K$6="Non",(69.53*1000+3.473*25+10.44*298)*0.000001,$K$6="Oui",(49.01*1000+0.966*25+0.861*298)*0.000001),"")</f>
        <v/>
      </c>
      <c r="K30" s="82" t="str" cm="1">
        <f t="array" ref="K30">IFERROR(_xlfn.IFS(K$29="","",K$29="Non","",$K$6="Non",(69.53*1000+3.473*25+10.44*298)*0.000001,$K$6="Oui",(49.01*1000+0.966*25+0.861*298)*0.000001),"")</f>
        <v/>
      </c>
      <c r="L30" s="29"/>
      <c r="M30" s="28"/>
      <c r="N30" s="5"/>
      <c r="O30" s="5"/>
      <c r="P30" s="5"/>
    </row>
    <row r="31" spans="1:18" ht="6.75" customHeight="1" x14ac:dyDescent="0.3">
      <c r="A31" s="5"/>
      <c r="B31" s="5"/>
      <c r="C31" s="88"/>
      <c r="D31" s="33"/>
      <c r="E31" s="33"/>
      <c r="F31" s="33"/>
      <c r="G31" s="33"/>
      <c r="H31" s="33"/>
      <c r="I31" s="33"/>
      <c r="J31" s="33"/>
      <c r="K31" s="33"/>
      <c r="L31" s="33"/>
      <c r="M31" s="4"/>
      <c r="N31" s="5"/>
      <c r="O31" s="5"/>
      <c r="P31" s="5"/>
    </row>
    <row r="32" spans="1:18" x14ac:dyDescent="0.3">
      <c r="A32" s="5"/>
      <c r="B32" s="5"/>
      <c r="C32" s="85" t="s">
        <v>43</v>
      </c>
      <c r="D32" s="29"/>
      <c r="E32" s="12">
        <f>IF(E$16&lt;$D$4,"",IF(AND($D$3="Base non sectorielle",$D$5="Oui",E$16&lt;($D$4+5)),0,(E$16-MAX($D$4,$D$16))*1))</f>
        <v>1</v>
      </c>
      <c r="F32" s="12">
        <f t="shared" ref="F32:K32" si="4">IF(F$16&lt;$D$4,0,IF(AND($D$3="Base non sectorielle",$D$5="Oui",F$16&lt;($D$4+5)),0,(F$16-MAX($D$4,$D$16))*1))</f>
        <v>2</v>
      </c>
      <c r="G32" s="12">
        <f t="shared" si="4"/>
        <v>3</v>
      </c>
      <c r="H32" s="12">
        <f t="shared" si="4"/>
        <v>4</v>
      </c>
      <c r="I32" s="12">
        <f t="shared" si="4"/>
        <v>5</v>
      </c>
      <c r="J32" s="12">
        <f t="shared" si="4"/>
        <v>6</v>
      </c>
      <c r="K32" s="12">
        <f t="shared" si="4"/>
        <v>7</v>
      </c>
      <c r="L32" s="29"/>
      <c r="M32" s="28"/>
      <c r="N32" s="5"/>
      <c r="O32" s="5"/>
      <c r="P32" s="5"/>
    </row>
    <row r="33" spans="1:18" x14ac:dyDescent="0.3">
      <c r="A33" s="5"/>
      <c r="B33" s="5"/>
      <c r="C33" s="85" t="s">
        <v>44</v>
      </c>
      <c r="D33" s="36" t="str">
        <f>IFERROR(IF(D$16&lt;$D$4,"",IF($D$3="Base sectorielle",_xlfn.XLOOKUP($K$3,'Données sectorielles'!$A$2:$A$6,'Données sectorielles'!$C$2:$C$6),IF(ISBLANK($D$10),"",$D$10))),"")</f>
        <v/>
      </c>
      <c r="E33" s="36" t="str">
        <f>IFERROR(IF(E$16&lt;$D$4,"",IF($D$3="Base sectorielle",_xlfn.XLOOKUP($K$3,'Données sectorielles'!$A$2:$A$6,'Données sectorielles'!$C$2:$C$6),IF(ISBLANK($D$10),"",$D$10))),"")</f>
        <v/>
      </c>
      <c r="F33" s="36" t="str">
        <f>IFERROR(IF(F$16&lt;$D$4,"",IF($D$3="Base sectorielle",_xlfn.XLOOKUP($K$3,'Données sectorielles'!$A$2:$A$6,'Données sectorielles'!$C$2:$C$6),IF(ISBLANK($D$10),"",$D$10))),"")</f>
        <v/>
      </c>
      <c r="G33" s="36" t="str">
        <f>IFERROR(IF(G$16&lt;$D$4,"",IF($D$3="Base sectorielle",_xlfn.XLOOKUP($K$3,'Données sectorielles'!$A$2:$A$6,'Données sectorielles'!$C$2:$C$6),IF(ISBLANK($D$10),"",$D$10))),"")</f>
        <v/>
      </c>
      <c r="H33" s="36" t="str">
        <f>IFERROR(IF(H$16&lt;$D$4,"",IF($D$3="Base sectorielle",_xlfn.XLOOKUP($K$3,'Données sectorielles'!$A$2:$A$6,'Données sectorielles'!$C$2:$C$6),IF(ISBLANK($D$10),"",$D$10))),"")</f>
        <v/>
      </c>
      <c r="I33" s="36" t="str">
        <f>IFERROR(IF(I$16&lt;$D$4,"",IF($D$3="Base sectorielle",_xlfn.XLOOKUP($K$3,'Données sectorielles'!$A$2:$A$6,'Données sectorielles'!$C$2:$C$6),IF(ISBLANK($D$10),"",$D$10))),"")</f>
        <v/>
      </c>
      <c r="J33" s="36" t="str">
        <f>IFERROR(IF(J$16&lt;$D$4,"",IF($D$3="Base sectorielle",_xlfn.XLOOKUP($K$3,'Données sectorielles'!$A$2:$A$6,'Données sectorielles'!$C$2:$C$6),IF(ISBLANK($D$10),"",$D$10))),"")</f>
        <v/>
      </c>
      <c r="K33" s="36" t="str">
        <f>IFERROR(IF(K$16&lt;$D$4,"",IF($D$3="Base sectorielle",_xlfn.XLOOKUP($K$3,'Données sectorielles'!$A$2:$A$6,'Données sectorielles'!$C$2:$C$6),IF(ISBLANK($D$10),"",$D$10))),"")</f>
        <v/>
      </c>
      <c r="L33" s="29"/>
      <c r="M33" s="28"/>
      <c r="N33" s="5"/>
      <c r="O33" s="5"/>
      <c r="P33" s="5"/>
    </row>
    <row r="34" spans="1:18" x14ac:dyDescent="0.3">
      <c r="A34" s="5"/>
      <c r="B34" s="5"/>
      <c r="C34" s="85" t="s">
        <v>45</v>
      </c>
      <c r="D34" s="29"/>
      <c r="E34" s="12">
        <f t="shared" ref="E34:K34" si="5">IF(E$16&lt;$D$4,"",IF(AND($D$3="Base non sectorielle",$D$5="Oui",E$16&lt;($D$4+2)),0,(E$16-MAX($D$4,$D$16))*2.34))</f>
        <v>2.34</v>
      </c>
      <c r="F34" s="12">
        <f t="shared" si="5"/>
        <v>4.68</v>
      </c>
      <c r="G34" s="12">
        <f t="shared" si="5"/>
        <v>7.02</v>
      </c>
      <c r="H34" s="12">
        <f t="shared" si="5"/>
        <v>9.36</v>
      </c>
      <c r="I34" s="12">
        <f t="shared" si="5"/>
        <v>11.7</v>
      </c>
      <c r="J34" s="12">
        <f t="shared" si="5"/>
        <v>14.04</v>
      </c>
      <c r="K34" s="12">
        <f t="shared" si="5"/>
        <v>16.38</v>
      </c>
      <c r="L34" s="29"/>
      <c r="M34" s="28"/>
      <c r="N34" s="5"/>
      <c r="O34" s="5"/>
      <c r="P34" s="5"/>
    </row>
    <row r="35" spans="1:18" ht="6" customHeight="1" x14ac:dyDescent="0.3">
      <c r="A35" s="5"/>
      <c r="B35" s="5"/>
      <c r="C35" s="86"/>
      <c r="D35" s="33"/>
      <c r="E35" s="33"/>
      <c r="F35" s="33"/>
      <c r="G35" s="33"/>
      <c r="H35" s="33"/>
      <c r="I35" s="33"/>
      <c r="J35" s="33"/>
      <c r="K35" s="33"/>
      <c r="L35" s="33"/>
      <c r="M35" s="4"/>
      <c r="N35" s="5"/>
      <c r="O35" s="5"/>
      <c r="P35" s="5"/>
    </row>
    <row r="36" spans="1:18" x14ac:dyDescent="0.3">
      <c r="A36" s="5"/>
      <c r="B36" s="5"/>
      <c r="C36" s="89" t="s">
        <v>46</v>
      </c>
      <c r="D36" s="37"/>
      <c r="E36" s="30" t="str">
        <f>IFERROR(IF(E$16&lt;$D$4,"",IF($D$3="Base sectorielle",_xlfn.XLOOKUP($K$3,'Données sectorielles'!$A$2:$A$6,'Données sectorielles'!$B$2:$B$6),IF(ISBLANK($D$9),"",$D$9))),"")</f>
        <v/>
      </c>
      <c r="F36" s="30" t="str">
        <f>IFERROR(IF(F$16&lt;$D$4,"",IF($D$3="Base sectorielle",_xlfn.XLOOKUP($K$3,'Données sectorielles'!$A$2:$A$6,'Données sectorielles'!$B$2:$B$6),IF(ISBLANK($D$9),"",$D$9))),"")</f>
        <v/>
      </c>
      <c r="G36" s="30" t="str">
        <f>IFERROR(IF(G$16&lt;$D$4,"",IF($D$3="Base sectorielle",_xlfn.XLOOKUP($K$3,'Données sectorielles'!$A$2:$A$6,'Données sectorielles'!$B$2:$B$6),IF(ISBLANK($D$9),"",$D$9))),"")</f>
        <v/>
      </c>
      <c r="H36" s="30" t="str">
        <f>IFERROR(IF(H$16&lt;$D$4,"",IF($D$3="Base sectorielle",_xlfn.XLOOKUP($K$3,'Données sectorielles'!$A$2:$A$6,'Données sectorielles'!$B$2:$B$6),IF(ISBLANK($D$9),"",$D$9))),"")</f>
        <v/>
      </c>
      <c r="I36" s="30" t="str">
        <f>IFERROR(IF(I$16&lt;$D$4,"",IF($D$3="Base sectorielle",_xlfn.XLOOKUP($K$3,'Données sectorielles'!$A$2:$A$6,'Données sectorielles'!$B$2:$B$6),IF(ISBLANK($D$9),"",$D$9))),"")</f>
        <v/>
      </c>
      <c r="J36" s="30" t="str">
        <f>IFERROR(IF(J$16&lt;$D$4,"",IF($D$3="Base sectorielle",_xlfn.XLOOKUP($K$3,'Données sectorielles'!$A$2:$A$6,'Données sectorielles'!$B$2:$B$6),IF(ISBLANK($D$9),"",$D$9))),"")</f>
        <v/>
      </c>
      <c r="K36" s="30" t="str">
        <f>IFERROR(IF(K$16&lt;$D$4,"",IF($D$3="Base sectorielle",_xlfn.XLOOKUP($K$3,'Données sectorielles'!$A$2:$A$6,'Données sectorielles'!$B$2:$B$6),IF(ISBLANK($D$9),"",$D$9))),"")</f>
        <v/>
      </c>
      <c r="L36" s="29"/>
      <c r="M36" s="28"/>
      <c r="N36" s="5"/>
      <c r="O36" s="5"/>
      <c r="P36" s="5"/>
    </row>
    <row r="37" spans="1:18" x14ac:dyDescent="0.3">
      <c r="A37" s="5"/>
      <c r="B37" s="5"/>
      <c r="C37" s="85" t="s">
        <v>47</v>
      </c>
      <c r="D37" s="29"/>
      <c r="E37" s="26" t="str">
        <f t="shared" ref="E37:K37" si="6">IFERROR(IF(E$16&lt;$D$4,"",IF(OR(AND($D$3="Base non sectorielle",$D$5="Oui",E$16&lt;($D$4+2)),E$16&lt;$D$4+1),0,(6-VALUE(RIGHT(E$36,1))))/5*1.36),"")</f>
        <v/>
      </c>
      <c r="F37" s="26" t="str">
        <f t="shared" si="6"/>
        <v/>
      </c>
      <c r="G37" s="26" t="str">
        <f t="shared" si="6"/>
        <v/>
      </c>
      <c r="H37" s="26" t="str">
        <f t="shared" si="6"/>
        <v/>
      </c>
      <c r="I37" s="26" t="str">
        <f t="shared" si="6"/>
        <v/>
      </c>
      <c r="J37" s="26" t="str">
        <f t="shared" si="6"/>
        <v/>
      </c>
      <c r="K37" s="26" t="str">
        <f t="shared" si="6"/>
        <v/>
      </c>
      <c r="L37" s="29"/>
      <c r="M37" s="28"/>
      <c r="N37" s="5"/>
      <c r="O37" s="5"/>
      <c r="P37" s="5"/>
    </row>
    <row r="38" spans="1:18" x14ac:dyDescent="0.3">
      <c r="A38" s="5"/>
      <c r="B38" s="5"/>
      <c r="C38" s="85" t="s">
        <v>48</v>
      </c>
      <c r="D38" s="29"/>
      <c r="E38" s="26" t="str">
        <f t="shared" ref="E38:K38" si="7">IF(E$23=0,"",IF(E$16&lt;$D$4,"",IF(OR(AND($D$3="Base non sectorielle",$D$5="Oui",E$16&lt;($D$4+2)),E$16&lt;$D$4+1),0,IF(E24&gt;=50%,0.272,0))))</f>
        <v/>
      </c>
      <c r="F38" s="26" t="str">
        <f t="shared" si="7"/>
        <v/>
      </c>
      <c r="G38" s="26" t="str">
        <f t="shared" si="7"/>
        <v/>
      </c>
      <c r="H38" s="26" t="str">
        <f t="shared" si="7"/>
        <v/>
      </c>
      <c r="I38" s="26" t="str">
        <f t="shared" si="7"/>
        <v/>
      </c>
      <c r="J38" s="26" t="str">
        <f t="shared" si="7"/>
        <v/>
      </c>
      <c r="K38" s="26" t="str">
        <f t="shared" si="7"/>
        <v/>
      </c>
      <c r="L38" s="29"/>
      <c r="M38" s="28"/>
      <c r="N38" s="5"/>
      <c r="O38" s="5"/>
      <c r="P38" s="5"/>
    </row>
    <row r="39" spans="1:18" x14ac:dyDescent="0.3">
      <c r="A39" s="5"/>
      <c r="B39" s="5"/>
      <c r="C39" s="85" t="s">
        <v>49</v>
      </c>
      <c r="D39" s="29"/>
      <c r="E39" s="76">
        <f>IFERROR(D39+E37-E38,0)</f>
        <v>0</v>
      </c>
      <c r="F39" s="76">
        <f t="shared" ref="F39:K39" si="8">IFERROR(E39+F37-F38,0)</f>
        <v>0</v>
      </c>
      <c r="G39" s="76">
        <f t="shared" si="8"/>
        <v>0</v>
      </c>
      <c r="H39" s="76">
        <f t="shared" si="8"/>
        <v>0</v>
      </c>
      <c r="I39" s="76">
        <f t="shared" si="8"/>
        <v>0</v>
      </c>
      <c r="J39" s="76">
        <f t="shared" si="8"/>
        <v>0</v>
      </c>
      <c r="K39" s="76">
        <f t="shared" si="8"/>
        <v>0</v>
      </c>
      <c r="L39" s="29"/>
      <c r="M39" s="28"/>
      <c r="N39" s="5"/>
      <c r="O39" s="5"/>
      <c r="P39" s="5"/>
      <c r="R39" s="75"/>
    </row>
    <row r="40" spans="1:18" ht="6" customHeight="1" x14ac:dyDescent="0.3">
      <c r="A40" s="5"/>
      <c r="B40" s="5"/>
      <c r="C40" s="86"/>
      <c r="D40" s="33"/>
      <c r="E40" s="33"/>
      <c r="F40" s="33"/>
      <c r="G40" s="33"/>
      <c r="H40" s="33"/>
      <c r="I40" s="33"/>
      <c r="J40" s="33"/>
      <c r="K40" s="33"/>
      <c r="L40" s="33"/>
      <c r="M40" s="4"/>
      <c r="N40" s="5"/>
      <c r="O40" s="5"/>
      <c r="P40" s="5"/>
    </row>
    <row r="41" spans="1:18" x14ac:dyDescent="0.3">
      <c r="A41" s="5"/>
      <c r="B41" s="5"/>
      <c r="C41" s="85" t="s">
        <v>50</v>
      </c>
      <c r="D41" s="35"/>
      <c r="E41" s="13">
        <f>IF(OR(AND($D$3="Base non sectorielle",$D$5="Oui",E$16&lt;($D$4+2)),AND($D$4&gt;2023,$D$5="Non",E$16&lt;($D$4+1))),0,-0.5)</f>
        <v>-0.5</v>
      </c>
      <c r="F41" s="13">
        <f>IF(OR(AND($D$3="Base non sectorielle",$D$5="Oui",F$16&lt;($D$4+2)),AND($D$4&gt;2023,$D$5="Non",F$16&lt;($D$4+1))),0,-1)</f>
        <v>-1</v>
      </c>
      <c r="G41" s="13">
        <f>IF(OR(AND($D$3="Base non sectorielle",$D$5="Oui",G$16&lt;($D$4+2)),AND($D$4&gt;2023,$D$5="Non",G$16&lt;($D$4+1))),0,-1.25)</f>
        <v>-1.25</v>
      </c>
      <c r="H41" s="13">
        <f>IF(OR(AND($D$3="Base non sectorielle",$D$5="Oui",H$16&lt;($D$4+2)),AND($D$4&gt;2023,$D$5="Non",H$16&lt;($D$4+1))),0,-1.25)</f>
        <v>-1.25</v>
      </c>
      <c r="I41" s="13">
        <f>IF(OR(AND($D$3="Base non sectorielle",$D$5="Oui",I$16&lt;($D$4+2)),AND($D$4&gt;2023,$D$5="Non",I$16&lt;($D$4+1))),0,-1)</f>
        <v>-1</v>
      </c>
      <c r="J41" s="13">
        <f>IF(OR(AND($D$3="Base non sectorielle",$D$5="Oui",J$16&lt;($D$4+2)),AND($D$4&gt;2023,$D$5="Non",J$16&lt;($D$4+1))),0,-0.5)</f>
        <v>-0.5</v>
      </c>
      <c r="K41" s="13">
        <v>0</v>
      </c>
      <c r="L41" s="29"/>
      <c r="M41" s="28"/>
      <c r="N41" s="5"/>
      <c r="O41" s="5"/>
      <c r="P41" s="5"/>
    </row>
    <row r="42" spans="1:18" ht="6" customHeight="1" x14ac:dyDescent="0.3">
      <c r="A42" s="5"/>
      <c r="B42" s="5"/>
      <c r="C42" s="86"/>
      <c r="D42" s="33"/>
      <c r="E42" s="33"/>
      <c r="F42" s="33"/>
      <c r="G42" s="33"/>
      <c r="H42" s="33"/>
      <c r="I42" s="33"/>
      <c r="J42" s="33"/>
      <c r="K42" s="33"/>
      <c r="L42" s="33"/>
      <c r="M42" s="4"/>
      <c r="N42" s="5"/>
      <c r="O42" s="5"/>
      <c r="P42" s="5"/>
    </row>
    <row r="43" spans="1:18" ht="16.5" customHeight="1" x14ac:dyDescent="0.3">
      <c r="A43" s="5"/>
      <c r="B43" s="5"/>
      <c r="C43" s="85" t="s">
        <v>51</v>
      </c>
      <c r="D43" s="35"/>
      <c r="E43" s="38" t="str">
        <f t="shared" ref="E43:K43" si="9">IFERROR(IF(E$16&lt;$D$4,0,ROUNDUP(IF(E$29="Oui",(E$21*E$30+E$17+E$19)*(IF(AND($D$3="Base non sectorielle",$D$5="Oui",E$16&lt;($D$4+5)),1,E$33)-E$32/100),E$20*E$27*(IF(AND($D$3="Base non sectorielle",$D$5="Oui",E$16&lt;($D$4+5)),1,E$33)-E$32/100)),0)),"")</f>
        <v/>
      </c>
      <c r="F43" s="38" t="str">
        <f t="shared" si="9"/>
        <v/>
      </c>
      <c r="G43" s="38" t="str">
        <f t="shared" si="9"/>
        <v/>
      </c>
      <c r="H43" s="38" t="str">
        <f t="shared" si="9"/>
        <v/>
      </c>
      <c r="I43" s="38" t="str">
        <f t="shared" si="9"/>
        <v/>
      </c>
      <c r="J43" s="38" t="str">
        <f t="shared" si="9"/>
        <v/>
      </c>
      <c r="K43" s="38" t="str">
        <f t="shared" si="9"/>
        <v/>
      </c>
      <c r="L43" s="29"/>
      <c r="M43" s="28"/>
      <c r="N43" s="5"/>
      <c r="O43" s="5"/>
      <c r="P43" s="5"/>
    </row>
    <row r="44" spans="1:18" x14ac:dyDescent="0.3">
      <c r="A44" s="5"/>
      <c r="B44" s="5"/>
      <c r="C44" s="85" t="s">
        <v>52</v>
      </c>
      <c r="D44" s="38" t="str">
        <f>IFERROR(IF(D$16&lt;$D$4,0,ROUNDUP(IF(D$29="Oui",(D$21*D$30+D$17+D$19)*D$33,IF(D$29="Oui",0,D$20*D$27*D$33)),0)),"")</f>
        <v/>
      </c>
      <c r="E44" s="38" t="str">
        <f t="shared" ref="E44:K44" si="10">IFERROR(IF(E$16&lt;$D$4,0,ROUNDUP(IF(E$29="Oui",(E$21*E$30+E$17+E$19)*(E$33-E$34/100-E$39/100-E$41/100),E$20*MIN(E$27*(E$33-E$34/100-E$39/100-E$41/100),IF(OR($D$3="Base sectorielle",$D$4&lt;2023),$D$27,$D$11)*_xlfn.XLOOKUP(MAX(2023,$D$4),$D$16:$K$16,$D$33:$K$33))),0)),"")</f>
        <v/>
      </c>
      <c r="F44" s="38" t="str">
        <f t="shared" si="10"/>
        <v/>
      </c>
      <c r="G44" s="38" t="str">
        <f t="shared" si="10"/>
        <v/>
      </c>
      <c r="H44" s="38" t="str">
        <f t="shared" si="10"/>
        <v/>
      </c>
      <c r="I44" s="38" t="str">
        <f t="shared" si="10"/>
        <v/>
      </c>
      <c r="J44" s="38" t="str">
        <f t="shared" si="10"/>
        <v/>
      </c>
      <c r="K44" s="38" t="str">
        <f t="shared" si="10"/>
        <v/>
      </c>
      <c r="L44" s="29"/>
      <c r="M44" s="28"/>
      <c r="N44" s="5"/>
      <c r="O44" s="5"/>
      <c r="P44" s="38"/>
      <c r="Q44" s="67"/>
    </row>
    <row r="45" spans="1:18" x14ac:dyDescent="0.3">
      <c r="A45" s="5"/>
      <c r="B45" s="5"/>
      <c r="C45" s="85" t="s">
        <v>53</v>
      </c>
      <c r="D45" s="35"/>
      <c r="E45" s="38" t="str">
        <f>IFERROR(E$43-E$44,"")</f>
        <v/>
      </c>
      <c r="F45" s="38" t="str">
        <f t="shared" ref="F45:K45" si="11">IFERROR(F$43-F$44,"")</f>
        <v/>
      </c>
      <c r="G45" s="38" t="str">
        <f t="shared" si="11"/>
        <v/>
      </c>
      <c r="H45" s="38" t="str">
        <f t="shared" si="11"/>
        <v/>
      </c>
      <c r="I45" s="38" t="str">
        <f t="shared" si="11"/>
        <v/>
      </c>
      <c r="J45" s="38" t="str">
        <f t="shared" si="11"/>
        <v/>
      </c>
      <c r="K45" s="38" t="str">
        <f t="shared" si="11"/>
        <v/>
      </c>
      <c r="L45" s="29"/>
      <c r="M45" s="28"/>
      <c r="N45" s="5"/>
      <c r="O45" s="5"/>
      <c r="P45" s="5"/>
    </row>
    <row r="46" spans="1:18" ht="6.75" customHeight="1" x14ac:dyDescent="0.3">
      <c r="A46" s="5"/>
      <c r="B46" s="5"/>
      <c r="C46" s="86"/>
      <c r="D46" s="33"/>
      <c r="E46" s="33"/>
      <c r="F46" s="33"/>
      <c r="G46" s="33"/>
      <c r="H46" s="33"/>
      <c r="I46" s="33"/>
      <c r="J46" s="33"/>
      <c r="K46" s="33"/>
      <c r="L46" s="33"/>
      <c r="M46" s="4"/>
      <c r="N46" s="5"/>
      <c r="O46" s="5"/>
      <c r="P46" s="5"/>
    </row>
    <row r="47" spans="1:18" x14ac:dyDescent="0.3">
      <c r="A47" s="5"/>
      <c r="B47" s="5"/>
      <c r="C47" s="85" t="s">
        <v>54</v>
      </c>
      <c r="D47" s="35"/>
      <c r="E47" s="38" t="str">
        <f>IFERROR(0.75*E45,"")</f>
        <v/>
      </c>
      <c r="F47" s="38" t="str">
        <f t="shared" ref="F47:M47" si="12">IFERROR(0.75*F45+0.25*D45,"")</f>
        <v/>
      </c>
      <c r="G47" s="38" t="str">
        <f t="shared" si="12"/>
        <v/>
      </c>
      <c r="H47" s="38" t="str">
        <f t="shared" si="12"/>
        <v/>
      </c>
      <c r="I47" s="38" t="str">
        <f t="shared" si="12"/>
        <v/>
      </c>
      <c r="J47" s="38" t="str">
        <f t="shared" si="12"/>
        <v/>
      </c>
      <c r="K47" s="38" t="str">
        <f t="shared" si="12"/>
        <v/>
      </c>
      <c r="L47" s="38" t="str">
        <f t="shared" si="12"/>
        <v/>
      </c>
      <c r="M47" s="39" t="str">
        <f t="shared" si="12"/>
        <v/>
      </c>
      <c r="N47" s="5"/>
      <c r="O47" s="5"/>
      <c r="P47" s="5"/>
    </row>
    <row r="48" spans="1:18" ht="6" customHeight="1" x14ac:dyDescent="0.3">
      <c r="A48" s="5"/>
      <c r="B48" s="5"/>
      <c r="C48" s="86"/>
      <c r="D48" s="33"/>
      <c r="E48" s="33"/>
      <c r="F48" s="33"/>
      <c r="G48" s="33"/>
      <c r="H48" s="33"/>
      <c r="I48" s="33"/>
      <c r="J48" s="33"/>
      <c r="K48" s="33"/>
      <c r="L48" s="33"/>
      <c r="M48" s="4"/>
      <c r="N48" s="5"/>
      <c r="O48" s="5"/>
      <c r="P48" s="5"/>
    </row>
    <row r="49" spans="1:17" ht="15.75" customHeight="1" x14ac:dyDescent="0.3">
      <c r="A49" s="5"/>
      <c r="B49" s="5"/>
      <c r="C49" s="85" t="s">
        <v>55</v>
      </c>
      <c r="D49" s="38" t="str">
        <f t="shared" ref="D49:K49" si="13">IFERROR(IF(D$16&lt;$D$4,0,MAX(0,D$23-D$44)),"")</f>
        <v/>
      </c>
      <c r="E49" s="38" t="str">
        <f t="shared" si="13"/>
        <v/>
      </c>
      <c r="F49" s="38" t="str">
        <f t="shared" si="13"/>
        <v/>
      </c>
      <c r="G49" s="38" t="str">
        <f t="shared" si="13"/>
        <v/>
      </c>
      <c r="H49" s="38" t="str">
        <f t="shared" si="13"/>
        <v/>
      </c>
      <c r="I49" s="38" t="str">
        <f t="shared" si="13"/>
        <v/>
      </c>
      <c r="J49" s="38" t="str">
        <f t="shared" si="13"/>
        <v/>
      </c>
      <c r="K49" s="38" t="str">
        <f t="shared" si="13"/>
        <v/>
      </c>
      <c r="L49" s="29"/>
      <c r="M49" s="28"/>
      <c r="N49" s="5"/>
      <c r="O49" s="5"/>
      <c r="P49" s="5"/>
    </row>
    <row r="50" spans="1:17" ht="15.75" customHeight="1" x14ac:dyDescent="0.3">
      <c r="A50" s="5"/>
      <c r="B50" s="5"/>
      <c r="C50" s="85" t="s">
        <v>56</v>
      </c>
      <c r="D50" s="38" t="str">
        <f t="shared" ref="D50:K50" si="14">IFERROR(IF(D$16&lt;$D$4,0,-MIN(0,D$23-D$44)),"")</f>
        <v/>
      </c>
      <c r="E50" s="38" t="str">
        <f t="shared" si="14"/>
        <v/>
      </c>
      <c r="F50" s="38" t="str">
        <f t="shared" si="14"/>
        <v/>
      </c>
      <c r="G50" s="38" t="str">
        <f t="shared" si="14"/>
        <v/>
      </c>
      <c r="H50" s="38" t="str">
        <f t="shared" si="14"/>
        <v/>
      </c>
      <c r="I50" s="38" t="str">
        <f t="shared" si="14"/>
        <v/>
      </c>
      <c r="J50" s="38" t="str">
        <f t="shared" si="14"/>
        <v/>
      </c>
      <c r="K50" s="38" t="str">
        <f t="shared" si="14"/>
        <v/>
      </c>
      <c r="L50" s="29"/>
      <c r="M50" s="28"/>
      <c r="N50" s="5"/>
      <c r="O50" s="5"/>
      <c r="P50" s="5"/>
    </row>
    <row r="51" spans="1:17" ht="6" customHeight="1" thickBot="1" x14ac:dyDescent="0.35">
      <c r="A51" s="5"/>
      <c r="B51" s="5"/>
      <c r="C51" s="88"/>
      <c r="D51" s="33"/>
      <c r="E51" s="33"/>
      <c r="F51" s="33"/>
      <c r="G51" s="33"/>
      <c r="H51" s="33"/>
      <c r="I51" s="33"/>
      <c r="J51" s="33"/>
      <c r="K51" s="33"/>
      <c r="L51" s="33"/>
      <c r="M51" s="4"/>
      <c r="N51" s="5"/>
      <c r="O51" s="5"/>
      <c r="P51" s="5"/>
    </row>
    <row r="52" spans="1:17" ht="15.75" customHeight="1" thickBot="1" x14ac:dyDescent="0.35">
      <c r="A52" s="5"/>
      <c r="B52" s="5"/>
      <c r="C52" s="85" t="s">
        <v>57</v>
      </c>
      <c r="D52" s="81"/>
      <c r="E52" s="14"/>
      <c r="F52" s="14"/>
      <c r="G52" s="14"/>
      <c r="H52" s="14"/>
      <c r="I52" s="14"/>
      <c r="J52" s="14"/>
      <c r="K52" s="14"/>
      <c r="L52" s="14"/>
      <c r="M52" s="14"/>
      <c r="N52" s="5"/>
      <c r="O52" s="5"/>
      <c r="P52" s="5"/>
    </row>
    <row r="53" spans="1:17" x14ac:dyDescent="0.3">
      <c r="A53" s="5"/>
      <c r="B53" s="5"/>
      <c r="C53" s="85" t="s">
        <v>58</v>
      </c>
      <c r="D53" s="40" t="str">
        <f>IFERROR((D49*D$52),"")</f>
        <v/>
      </c>
      <c r="E53" s="40" t="str">
        <f t="shared" ref="E53:K53" si="15">IFERROR((E49*E$52),"")</f>
        <v/>
      </c>
      <c r="F53" s="40" t="str">
        <f t="shared" si="15"/>
        <v/>
      </c>
      <c r="G53" s="40" t="str">
        <f t="shared" si="15"/>
        <v/>
      </c>
      <c r="H53" s="40" t="str">
        <f t="shared" si="15"/>
        <v/>
      </c>
      <c r="I53" s="40" t="str">
        <f t="shared" si="15"/>
        <v/>
      </c>
      <c r="J53" s="40" t="str">
        <f t="shared" si="15"/>
        <v/>
      </c>
      <c r="K53" s="40" t="str">
        <f t="shared" si="15"/>
        <v/>
      </c>
      <c r="L53" s="29"/>
      <c r="M53" s="28"/>
      <c r="N53" s="5"/>
      <c r="O53" s="5"/>
      <c r="P53" s="5"/>
    </row>
    <row r="54" spans="1:17" x14ac:dyDescent="0.3">
      <c r="A54" s="5"/>
      <c r="B54" s="5"/>
      <c r="C54" s="85" t="s">
        <v>59</v>
      </c>
      <c r="D54" s="41" t="str">
        <f t="shared" ref="D54:K54" si="16">IFERROR(D$53/D$23,"")</f>
        <v/>
      </c>
      <c r="E54" s="41" t="str">
        <f t="shared" si="16"/>
        <v/>
      </c>
      <c r="F54" s="41" t="str">
        <f t="shared" si="16"/>
        <v/>
      </c>
      <c r="G54" s="41" t="str">
        <f t="shared" si="16"/>
        <v/>
      </c>
      <c r="H54" s="41" t="str">
        <f t="shared" si="16"/>
        <v/>
      </c>
      <c r="I54" s="41" t="str">
        <f t="shared" si="16"/>
        <v/>
      </c>
      <c r="J54" s="41" t="str">
        <f t="shared" si="16"/>
        <v/>
      </c>
      <c r="K54" s="41" t="str">
        <f t="shared" si="16"/>
        <v/>
      </c>
      <c r="L54" s="29"/>
      <c r="M54" s="28"/>
      <c r="N54" s="5"/>
      <c r="O54" s="5"/>
      <c r="P54" s="5"/>
    </row>
    <row r="55" spans="1:17" x14ac:dyDescent="0.3">
      <c r="A55" s="5"/>
      <c r="B55" s="5"/>
      <c r="C55" s="85" t="s">
        <v>60</v>
      </c>
      <c r="D55" s="40" t="str">
        <f t="shared" ref="D55:K55" si="17">IFERROR((D50*D$52),"")</f>
        <v/>
      </c>
      <c r="E55" s="40" t="str">
        <f t="shared" si="17"/>
        <v/>
      </c>
      <c r="F55" s="40" t="str">
        <f t="shared" si="17"/>
        <v/>
      </c>
      <c r="G55" s="40" t="str">
        <f t="shared" si="17"/>
        <v/>
      </c>
      <c r="H55" s="40" t="str">
        <f t="shared" si="17"/>
        <v/>
      </c>
      <c r="I55" s="40" t="str">
        <f t="shared" si="17"/>
        <v/>
      </c>
      <c r="J55" s="40" t="str">
        <f t="shared" si="17"/>
        <v/>
      </c>
      <c r="K55" s="40" t="str">
        <f t="shared" si="17"/>
        <v/>
      </c>
      <c r="L55" s="29"/>
      <c r="M55" s="28"/>
      <c r="N55" s="5"/>
      <c r="O55" s="5"/>
      <c r="P55" s="5"/>
    </row>
    <row r="56" spans="1:17" ht="16.2" thickBot="1" x14ac:dyDescent="0.35">
      <c r="A56" s="5"/>
      <c r="B56" s="5"/>
      <c r="C56" s="90" t="s">
        <v>61</v>
      </c>
      <c r="D56" s="10"/>
      <c r="E56" s="11" t="str">
        <f t="shared" ref="E56:M56" si="18">IFERROR(E$47*E$52,"")</f>
        <v/>
      </c>
      <c r="F56" s="11" t="str">
        <f t="shared" si="18"/>
        <v/>
      </c>
      <c r="G56" s="11" t="str">
        <f t="shared" si="18"/>
        <v/>
      </c>
      <c r="H56" s="11" t="str">
        <f t="shared" si="18"/>
        <v/>
      </c>
      <c r="I56" s="11" t="str">
        <f t="shared" si="18"/>
        <v/>
      </c>
      <c r="J56" s="11" t="str">
        <f t="shared" si="18"/>
        <v/>
      </c>
      <c r="K56" s="11" t="str">
        <f t="shared" si="18"/>
        <v/>
      </c>
      <c r="L56" s="11" t="str">
        <f t="shared" si="18"/>
        <v/>
      </c>
      <c r="M56" s="42" t="str">
        <f t="shared" si="18"/>
        <v/>
      </c>
      <c r="N56" s="5"/>
      <c r="O56" s="5"/>
      <c r="P56" s="5"/>
    </row>
    <row r="57" spans="1:17" ht="20.100000000000001" customHeight="1" thickBot="1" x14ac:dyDescent="0.35">
      <c r="A57" s="5"/>
      <c r="B57" s="5"/>
      <c r="C57" s="6"/>
      <c r="D57" s="83"/>
      <c r="E57" s="5"/>
      <c r="F57" s="5"/>
      <c r="G57" s="5"/>
      <c r="H57" s="5"/>
      <c r="I57" s="5"/>
      <c r="J57" s="5"/>
      <c r="K57" s="5"/>
      <c r="L57" s="5"/>
      <c r="M57" s="5"/>
      <c r="N57" s="5"/>
      <c r="O57" s="5"/>
      <c r="P57" s="5"/>
      <c r="Q57" s="72"/>
    </row>
    <row r="58" spans="1:17" x14ac:dyDescent="0.3">
      <c r="A58" s="5"/>
      <c r="B58" s="5"/>
      <c r="C58" s="47"/>
      <c r="D58" s="48"/>
      <c r="E58" s="48"/>
      <c r="F58" s="48"/>
      <c r="G58" s="48"/>
      <c r="H58" s="48"/>
      <c r="I58" s="48"/>
      <c r="J58" s="48"/>
      <c r="K58" s="48"/>
      <c r="L58" s="48"/>
      <c r="M58" s="49"/>
      <c r="N58" s="5"/>
      <c r="O58" s="5"/>
      <c r="P58" s="5"/>
    </row>
    <row r="59" spans="1:17" x14ac:dyDescent="0.3">
      <c r="A59" s="5"/>
      <c r="B59" s="5"/>
      <c r="C59" s="50" t="str">
        <f>"Facture carbone totale payée en " &amp; MAX(2024,$D$4) &amp; "-2030 :"</f>
        <v>Facture carbone totale payée en 2024-2030 :</v>
      </c>
      <c r="D59" s="51">
        <f>SUM(E53:K53)/10^6</f>
        <v>0</v>
      </c>
      <c r="E59" s="52" t="s">
        <v>62</v>
      </c>
      <c r="F59" s="5"/>
      <c r="G59" s="5"/>
      <c r="H59" s="5"/>
      <c r="I59" s="5"/>
      <c r="J59" s="5"/>
      <c r="K59" s="45" t="str">
        <f>"Variation annuelle moyenne de l'intensité réelle entre " &amp; MAX(2023,$D$4) &amp; " et 2030 :"</f>
        <v>Variation annuelle moyenne de l'intensité réelle entre 2023 et 2030 :</v>
      </c>
      <c r="L59" s="70" t="str">
        <f>IFERROR(K$25/_xlfn.XLOOKUP(MAX(2023,$D$4),$D$16:$K$16,$D$25:$K$25)-1,"")</f>
        <v/>
      </c>
      <c r="M59" s="53"/>
      <c r="N59" s="5"/>
      <c r="O59" s="5"/>
      <c r="P59" s="5"/>
    </row>
    <row r="60" spans="1:17" x14ac:dyDescent="0.3">
      <c r="A60" s="5"/>
      <c r="B60" s="5"/>
      <c r="C60" s="50" t="s">
        <v>63</v>
      </c>
      <c r="D60" s="51">
        <f>SUM(E55:L55)/10^6</f>
        <v>0</v>
      </c>
      <c r="E60" s="52" t="s">
        <v>62</v>
      </c>
      <c r="F60" s="5"/>
      <c r="G60" s="5"/>
      <c r="H60" s="5"/>
      <c r="I60" s="5"/>
      <c r="J60" s="5"/>
      <c r="K60" s="45" t="str">
        <f>"Variation annuelle moyenne de l'intensité cible entre " &amp; MAX(2023,$D$4) &amp; " et 2030 :"</f>
        <v>Variation annuelle moyenne de l'intensité cible entre 2023 et 2030 :</v>
      </c>
      <c r="L60" s="70" t="str">
        <f>IFERROR(K$27/_xlfn.XLOOKUP(MAX(2023,$D$4),$D$16:$K$16,$D$27:$K$27)-1,"")</f>
        <v/>
      </c>
      <c r="M60" s="53"/>
      <c r="N60" s="5"/>
      <c r="O60" s="5"/>
      <c r="P60" s="5"/>
    </row>
    <row r="61" spans="1:17" x14ac:dyDescent="0.3">
      <c r="A61" s="5"/>
      <c r="B61" s="5"/>
      <c r="C61" s="50" t="s">
        <v>64</v>
      </c>
      <c r="D61" s="51">
        <f>SUM(E56:M56)/10^6</f>
        <v>0</v>
      </c>
      <c r="E61" s="52" t="s">
        <v>62</v>
      </c>
      <c r="F61" s="5"/>
      <c r="G61" s="5"/>
      <c r="H61" s="5"/>
      <c r="I61" s="5"/>
      <c r="J61" s="5"/>
      <c r="K61" s="5"/>
      <c r="L61" s="5"/>
      <c r="M61" s="53"/>
      <c r="N61" s="5"/>
      <c r="O61" s="5"/>
      <c r="P61" s="5"/>
    </row>
    <row r="62" spans="1:17" ht="6" customHeight="1" x14ac:dyDescent="0.3">
      <c r="A62" s="5"/>
      <c r="B62" s="5"/>
      <c r="C62" s="50"/>
      <c r="D62" s="54"/>
      <c r="E62" s="55"/>
      <c r="F62" s="5"/>
      <c r="G62" s="5"/>
      <c r="H62" s="5"/>
      <c r="I62" s="5"/>
      <c r="J62" s="5"/>
      <c r="K62" s="5"/>
      <c r="L62" s="5"/>
      <c r="M62" s="53"/>
      <c r="N62" s="5"/>
      <c r="O62" s="5"/>
      <c r="P62" s="5"/>
    </row>
    <row r="63" spans="1:17" x14ac:dyDescent="0.3">
      <c r="A63" s="5"/>
      <c r="B63" s="5"/>
      <c r="C63" s="50" t="str">
        <f>"Prix moyen des unités vendues aux enchères en " &amp; MAX(2024,$D$4) &amp; "-2030 :"</f>
        <v>Prix moyen des unités vendues aux enchères en 2024-2030 :</v>
      </c>
      <c r="D63" s="51" t="str">
        <f>IFERROR(AVERAGE(E52:K52),"")</f>
        <v/>
      </c>
      <c r="E63" s="56" t="s">
        <v>65</v>
      </c>
      <c r="F63" s="5"/>
      <c r="G63" s="5"/>
      <c r="H63" s="5"/>
      <c r="I63" s="5"/>
      <c r="J63" s="5"/>
      <c r="K63" s="45" t="str">
        <f>"Proportion des émissions couvertes par l'allocation gratuite versée entre " &amp; MAX(2023,$D$4) &amp; " et 2030 :"</f>
        <v>Proportion des émissions couvertes par l'allocation gratuite versée entre 2023 et 2030 :</v>
      </c>
      <c r="L63" s="74" t="str">
        <f ca="1">IFERROR(SUMIF($D$16:$M$16,"&gt;="&amp;$D$4,$D$44:$K$44)/SUMIF($D$16:$M$16,"&gt;="&amp;$D$4,$D$23:$K$23),"")</f>
        <v/>
      </c>
      <c r="M63" s="53"/>
      <c r="N63" s="5"/>
      <c r="O63" s="5"/>
      <c r="P63" s="5"/>
    </row>
    <row r="64" spans="1:17" x14ac:dyDescent="0.3">
      <c r="A64" s="5"/>
      <c r="B64" s="5"/>
      <c r="C64" s="50" t="str">
        <f>"Prix carbone moyen payé en " &amp; MAX(2024,$D$4) &amp; "-2030 :"</f>
        <v>Prix carbone moyen payé en 2024-2030 :</v>
      </c>
      <c r="D64" s="51" t="str">
        <f>IFERROR(SUM(E53:K53)/SUM(E23:K23),"")</f>
        <v/>
      </c>
      <c r="E64" s="56" t="s">
        <v>65</v>
      </c>
      <c r="F64" s="5"/>
      <c r="G64" s="5"/>
      <c r="H64" s="5"/>
      <c r="I64" s="5"/>
      <c r="J64" s="5"/>
      <c r="K64" s="5"/>
      <c r="L64" s="5"/>
      <c r="M64" s="53"/>
      <c r="N64" s="5"/>
      <c r="O64" s="5"/>
      <c r="P64" s="5"/>
    </row>
    <row r="65" spans="1:16" ht="16.2" thickBot="1" x14ac:dyDescent="0.35">
      <c r="A65" s="5"/>
      <c r="B65" s="5"/>
      <c r="C65" s="57"/>
      <c r="D65" s="44"/>
      <c r="E65" s="44"/>
      <c r="F65" s="44"/>
      <c r="G65" s="44"/>
      <c r="H65" s="44"/>
      <c r="I65" s="44"/>
      <c r="J65" s="44"/>
      <c r="K65" s="44"/>
      <c r="L65" s="44"/>
      <c r="M65" s="58"/>
      <c r="N65" s="5"/>
      <c r="O65" s="5"/>
      <c r="P65" s="5"/>
    </row>
    <row r="66" spans="1:16" ht="20.100000000000001" customHeight="1" thickBot="1" x14ac:dyDescent="0.35">
      <c r="A66" s="5"/>
      <c r="B66" s="5"/>
      <c r="C66" s="6"/>
      <c r="D66" s="5"/>
      <c r="E66" s="5"/>
      <c r="F66" s="5"/>
      <c r="G66" s="5"/>
      <c r="H66" s="5"/>
      <c r="I66" s="5"/>
      <c r="J66" s="5"/>
      <c r="K66" s="5"/>
      <c r="L66" s="5"/>
      <c r="M66" s="5"/>
      <c r="N66" s="5"/>
      <c r="O66" s="5"/>
      <c r="P66" s="5"/>
    </row>
    <row r="67" spans="1:16" ht="20.100000000000001" customHeight="1" x14ac:dyDescent="0.3">
      <c r="A67" s="5"/>
      <c r="B67" s="5"/>
      <c r="C67" s="47"/>
      <c r="D67" s="48"/>
      <c r="E67" s="48"/>
      <c r="F67" s="48"/>
      <c r="G67" s="48"/>
      <c r="H67" s="48"/>
      <c r="I67" s="48"/>
      <c r="J67" s="48"/>
      <c r="K67" s="48"/>
      <c r="L67" s="48"/>
      <c r="M67" s="49"/>
      <c r="N67" s="5"/>
      <c r="O67" s="5"/>
      <c r="P67" s="5"/>
    </row>
    <row r="68" spans="1:16" x14ac:dyDescent="0.3">
      <c r="A68" s="5"/>
      <c r="B68" s="5"/>
      <c r="C68" s="62"/>
      <c r="D68" s="5"/>
      <c r="E68" s="5"/>
      <c r="F68" s="5"/>
      <c r="G68" s="5"/>
      <c r="H68" s="5"/>
      <c r="I68" s="5"/>
      <c r="J68" s="5"/>
      <c r="K68" s="5"/>
      <c r="L68" s="5"/>
      <c r="M68" s="53"/>
      <c r="N68" s="5"/>
      <c r="O68" s="5"/>
      <c r="P68" s="5"/>
    </row>
    <row r="69" spans="1:16" x14ac:dyDescent="0.3">
      <c r="A69" s="5"/>
      <c r="B69" s="5"/>
      <c r="C69" s="62"/>
      <c r="D69" s="5"/>
      <c r="E69" s="5"/>
      <c r="F69" s="5"/>
      <c r="G69" s="5"/>
      <c r="H69" s="5"/>
      <c r="I69" s="5"/>
      <c r="J69" s="5"/>
      <c r="K69" s="5"/>
      <c r="L69" s="5"/>
      <c r="M69" s="53"/>
      <c r="N69" s="5"/>
      <c r="O69" s="5"/>
      <c r="P69" s="5"/>
    </row>
    <row r="70" spans="1:16" x14ac:dyDescent="0.3">
      <c r="A70" s="5"/>
      <c r="B70" s="5"/>
      <c r="C70" s="62"/>
      <c r="D70" s="5"/>
      <c r="E70" s="5"/>
      <c r="F70" s="5"/>
      <c r="G70" s="5"/>
      <c r="H70" s="5"/>
      <c r="I70" s="5"/>
      <c r="J70" s="5"/>
      <c r="K70" s="5"/>
      <c r="L70" s="5"/>
      <c r="M70" s="53"/>
      <c r="N70" s="5"/>
      <c r="O70" s="5"/>
      <c r="P70" s="5"/>
    </row>
    <row r="71" spans="1:16" x14ac:dyDescent="0.3">
      <c r="A71" s="5"/>
      <c r="B71" s="5"/>
      <c r="C71" s="63"/>
      <c r="D71" s="5"/>
      <c r="E71" s="5"/>
      <c r="F71" s="5"/>
      <c r="G71" s="5"/>
      <c r="H71" s="5"/>
      <c r="I71" s="5"/>
      <c r="J71" s="5"/>
      <c r="K71" s="5"/>
      <c r="L71" s="5"/>
      <c r="M71" s="53"/>
      <c r="N71" s="5"/>
      <c r="O71" s="5"/>
      <c r="P71" s="5"/>
    </row>
    <row r="72" spans="1:16" x14ac:dyDescent="0.3">
      <c r="A72" s="5"/>
      <c r="B72" s="5"/>
      <c r="C72" s="62"/>
      <c r="D72" s="5"/>
      <c r="E72" s="5"/>
      <c r="F72" s="5"/>
      <c r="G72" s="5"/>
      <c r="H72" s="5"/>
      <c r="I72" s="5"/>
      <c r="J72" s="5"/>
      <c r="K72" s="5"/>
      <c r="L72" s="5"/>
      <c r="M72" s="53"/>
      <c r="N72" s="5"/>
      <c r="O72" s="5"/>
      <c r="P72" s="5"/>
    </row>
    <row r="73" spans="1:16" x14ac:dyDescent="0.3">
      <c r="A73" s="5"/>
      <c r="B73" s="5"/>
      <c r="C73" s="62"/>
      <c r="D73" s="5"/>
      <c r="E73" s="5"/>
      <c r="F73" s="5"/>
      <c r="G73" s="5"/>
      <c r="H73" s="5"/>
      <c r="I73" s="5"/>
      <c r="J73" s="5"/>
      <c r="K73" s="5"/>
      <c r="L73" s="5"/>
      <c r="M73" s="53"/>
      <c r="N73" s="5"/>
      <c r="O73" s="5"/>
      <c r="P73" s="5"/>
    </row>
    <row r="74" spans="1:16" x14ac:dyDescent="0.3">
      <c r="A74" s="5"/>
      <c r="B74" s="5"/>
      <c r="C74" s="62"/>
      <c r="D74" s="5"/>
      <c r="E74" s="5"/>
      <c r="F74" s="5"/>
      <c r="G74" s="5"/>
      <c r="H74" s="5"/>
      <c r="I74" s="5"/>
      <c r="J74" s="5"/>
      <c r="K74" s="5"/>
      <c r="L74" s="5"/>
      <c r="M74" s="53"/>
      <c r="N74" s="5"/>
      <c r="O74" s="5"/>
      <c r="P74" s="5"/>
    </row>
    <row r="75" spans="1:16" x14ac:dyDescent="0.3">
      <c r="A75" s="5"/>
      <c r="B75" s="5"/>
      <c r="C75" s="62"/>
      <c r="D75" s="5"/>
      <c r="E75" s="5"/>
      <c r="F75" s="5"/>
      <c r="G75" s="5"/>
      <c r="H75" s="5"/>
      <c r="I75" s="5"/>
      <c r="J75" s="5"/>
      <c r="K75" s="5"/>
      <c r="L75" s="5"/>
      <c r="M75" s="53"/>
      <c r="N75" s="5"/>
      <c r="O75" s="5"/>
      <c r="P75" s="5"/>
    </row>
    <row r="76" spans="1:16" x14ac:dyDescent="0.3">
      <c r="A76" s="5"/>
      <c r="B76" s="5"/>
      <c r="C76" s="62"/>
      <c r="D76" s="5"/>
      <c r="E76" s="5"/>
      <c r="F76" s="5"/>
      <c r="G76" s="5"/>
      <c r="H76" s="5"/>
      <c r="I76" s="5"/>
      <c r="J76" s="5"/>
      <c r="K76" s="5"/>
      <c r="L76" s="5"/>
      <c r="M76" s="53"/>
      <c r="N76" s="5"/>
      <c r="O76" s="5"/>
      <c r="P76" s="5"/>
    </row>
    <row r="77" spans="1:16" x14ac:dyDescent="0.3">
      <c r="A77" s="5"/>
      <c r="B77" s="5"/>
      <c r="C77" s="62"/>
      <c r="D77" s="5"/>
      <c r="E77" s="5"/>
      <c r="F77" s="5"/>
      <c r="G77" s="5"/>
      <c r="H77" s="5"/>
      <c r="I77" s="5"/>
      <c r="J77" s="5"/>
      <c r="K77" s="5"/>
      <c r="L77" s="5"/>
      <c r="M77" s="53"/>
      <c r="N77" s="5"/>
      <c r="O77" s="5"/>
      <c r="P77" s="5"/>
    </row>
    <row r="78" spans="1:16" x14ac:dyDescent="0.3">
      <c r="A78" s="5"/>
      <c r="B78" s="5"/>
      <c r="C78" s="62"/>
      <c r="D78" s="5"/>
      <c r="E78" s="5"/>
      <c r="F78" s="5"/>
      <c r="G78" s="5"/>
      <c r="H78" s="5"/>
      <c r="I78" s="5"/>
      <c r="J78" s="5"/>
      <c r="K78" s="5"/>
      <c r="L78" s="5"/>
      <c r="M78" s="53"/>
      <c r="N78" s="5"/>
      <c r="O78" s="5"/>
      <c r="P78" s="5"/>
    </row>
    <row r="79" spans="1:16" x14ac:dyDescent="0.3">
      <c r="A79" s="5"/>
      <c r="B79" s="5"/>
      <c r="C79" s="62"/>
      <c r="D79" s="5"/>
      <c r="E79" s="5"/>
      <c r="F79" s="5"/>
      <c r="G79" s="5"/>
      <c r="H79" s="5"/>
      <c r="I79" s="5"/>
      <c r="J79" s="5"/>
      <c r="K79" s="5"/>
      <c r="L79" s="5"/>
      <c r="M79" s="53"/>
      <c r="N79" s="5"/>
      <c r="O79" s="5"/>
      <c r="P79" s="5"/>
    </row>
    <row r="80" spans="1:16" x14ac:dyDescent="0.3">
      <c r="A80" s="5"/>
      <c r="B80" s="5"/>
      <c r="C80" s="62"/>
      <c r="D80" s="5"/>
      <c r="E80" s="5"/>
      <c r="F80" s="5"/>
      <c r="G80" s="5"/>
      <c r="H80" s="5"/>
      <c r="I80" s="5"/>
      <c r="J80" s="5"/>
      <c r="K80" s="5"/>
      <c r="L80" s="5"/>
      <c r="M80" s="53"/>
      <c r="N80" s="5"/>
      <c r="O80" s="5"/>
      <c r="P80" s="5"/>
    </row>
    <row r="81" spans="1:16" x14ac:dyDescent="0.3">
      <c r="A81" s="5"/>
      <c r="B81" s="5"/>
      <c r="C81" s="62"/>
      <c r="D81" s="5"/>
      <c r="E81" s="5"/>
      <c r="F81" s="5"/>
      <c r="G81" s="5"/>
      <c r="H81" s="5"/>
      <c r="I81" s="5"/>
      <c r="J81" s="5"/>
      <c r="K81" s="5"/>
      <c r="L81" s="5"/>
      <c r="M81" s="53"/>
      <c r="N81" s="5"/>
      <c r="O81" s="5"/>
      <c r="P81" s="5"/>
    </row>
    <row r="82" spans="1:16" x14ac:dyDescent="0.3">
      <c r="A82" s="5"/>
      <c r="B82" s="5"/>
      <c r="C82" s="62"/>
      <c r="D82" s="5"/>
      <c r="E82" s="5"/>
      <c r="F82" s="5"/>
      <c r="G82" s="5"/>
      <c r="H82" s="5"/>
      <c r="I82" s="5"/>
      <c r="J82" s="5"/>
      <c r="K82" s="5"/>
      <c r="L82" s="5"/>
      <c r="M82" s="53"/>
      <c r="N82" s="5"/>
      <c r="O82" s="5"/>
      <c r="P82" s="5"/>
    </row>
    <row r="83" spans="1:16" x14ac:dyDescent="0.3">
      <c r="A83" s="5"/>
      <c r="B83" s="5"/>
      <c r="C83" s="62"/>
      <c r="D83" s="5"/>
      <c r="E83" s="5"/>
      <c r="F83" s="5"/>
      <c r="G83" s="5"/>
      <c r="H83" s="5"/>
      <c r="I83" s="5"/>
      <c r="J83" s="5"/>
      <c r="K83" s="5"/>
      <c r="L83" s="5"/>
      <c r="M83" s="53"/>
      <c r="N83" s="5"/>
      <c r="O83" s="5"/>
      <c r="P83" s="5"/>
    </row>
    <row r="84" spans="1:16" x14ac:dyDescent="0.3">
      <c r="A84" s="5"/>
      <c r="B84" s="5"/>
      <c r="C84" s="62"/>
      <c r="D84" s="5"/>
      <c r="E84" s="5"/>
      <c r="F84" s="5"/>
      <c r="G84" s="5"/>
      <c r="H84" s="5"/>
      <c r="I84" s="5"/>
      <c r="J84" s="5"/>
      <c r="K84" s="5"/>
      <c r="L84" s="5"/>
      <c r="M84" s="53"/>
      <c r="N84" s="5"/>
      <c r="O84" s="5"/>
      <c r="P84" s="5"/>
    </row>
    <row r="85" spans="1:16" x14ac:dyDescent="0.3">
      <c r="A85" s="5"/>
      <c r="B85" s="5"/>
      <c r="C85" s="62"/>
      <c r="D85" s="5"/>
      <c r="E85" s="5"/>
      <c r="F85" s="5"/>
      <c r="G85" s="5"/>
      <c r="H85" s="5"/>
      <c r="I85" s="5"/>
      <c r="J85" s="5"/>
      <c r="K85" s="5"/>
      <c r="L85" s="5"/>
      <c r="M85" s="53"/>
      <c r="N85" s="5"/>
      <c r="O85" s="5"/>
      <c r="P85" s="5"/>
    </row>
    <row r="86" spans="1:16" ht="12" customHeight="1" thickBot="1" x14ac:dyDescent="0.35">
      <c r="A86" s="5"/>
      <c r="B86" s="5"/>
      <c r="C86" s="57"/>
      <c r="D86" s="44"/>
      <c r="E86" s="44"/>
      <c r="F86" s="44"/>
      <c r="G86" s="44"/>
      <c r="H86" s="44"/>
      <c r="I86" s="44"/>
      <c r="J86" s="44"/>
      <c r="K86" s="44"/>
      <c r="L86" s="44"/>
      <c r="M86" s="58"/>
      <c r="N86" s="5"/>
      <c r="O86" s="5"/>
      <c r="P86" s="5"/>
    </row>
    <row r="87" spans="1:16" x14ac:dyDescent="0.3">
      <c r="A87" s="5"/>
      <c r="B87" s="5"/>
      <c r="C87" s="6"/>
      <c r="D87" s="5"/>
      <c r="E87" s="5"/>
      <c r="F87" s="5"/>
      <c r="G87" s="5"/>
      <c r="H87" s="5"/>
      <c r="I87" s="5"/>
      <c r="J87" s="5"/>
      <c r="K87" s="5"/>
      <c r="L87" s="5"/>
      <c r="M87" s="5"/>
      <c r="N87" s="5"/>
      <c r="O87" s="5"/>
      <c r="P87" s="5"/>
    </row>
    <row r="88" spans="1:16" x14ac:dyDescent="0.3">
      <c r="A88" s="5"/>
      <c r="B88" s="5"/>
      <c r="C88" s="6"/>
      <c r="D88" s="5"/>
      <c r="E88" s="5"/>
      <c r="F88" s="5"/>
      <c r="G88" s="5"/>
      <c r="H88" s="5"/>
      <c r="I88" s="5"/>
      <c r="J88" s="5"/>
      <c r="K88" s="5"/>
      <c r="L88" s="5"/>
      <c r="M88" s="5"/>
      <c r="N88" s="5"/>
      <c r="O88" s="5"/>
      <c r="P88" s="5"/>
    </row>
  </sheetData>
  <sheetProtection formatCells="0" formatColumns="0" formatRows="0" insertColumns="0" insertRows="0" insertHyperlinks="0" deleteColumns="0" deleteRows="0" sort="0" autoFilter="0" pivotTables="0"/>
  <protectedRanges>
    <protectedRange sqref="K3:L3" name="Activité"/>
    <protectedRange sqref="D17:K17" name="Émissions fixes de procédés"/>
    <protectedRange sqref="D18:K18" name="Émissions de combustion"/>
    <protectedRange sqref="D19:K19" name="Émissions autres"/>
    <protectedRange sqref="D20:K20" name="Production"/>
    <protectedRange sqref="D21:K21" name="Consommation énergétique"/>
    <protectedRange sqref="D52:M52" name="Prix des unités"/>
    <protectedRange sqref="D3:E3" name="Traitement"/>
    <protectedRange sqref="D4:E4" name="Début assujettissement"/>
    <protectedRange sqref="D7:E7" name="Intensité réelle moyenne"/>
    <protectedRange sqref="D9:E9" name="Niveau de risque"/>
    <protectedRange sqref="D10:E10" name="Facteur assistance"/>
    <protectedRange sqref="D11:E13" name="Intensité cible 2023"/>
    <protectedRange sqref="K5:L5" name="Mise en exploitation"/>
    <protectedRange sqref="K6:L6" name="Raccordement réseau électrique"/>
    <protectedRange sqref="D5:E5" name="Établissement nouvellement mis en exploitation"/>
  </protectedRanges>
  <mergeCells count="12">
    <mergeCell ref="D11:E11"/>
    <mergeCell ref="D3:E3"/>
    <mergeCell ref="D4:E4"/>
    <mergeCell ref="D5:E5"/>
    <mergeCell ref="C1:M1"/>
    <mergeCell ref="D7:E7"/>
    <mergeCell ref="D9:E9"/>
    <mergeCell ref="D10:E10"/>
    <mergeCell ref="K5:L5"/>
    <mergeCell ref="K6:L6"/>
    <mergeCell ref="K3:L3"/>
    <mergeCell ref="K7:L7"/>
  </mergeCells>
  <phoneticPr fontId="6" type="noConversion"/>
  <conditionalFormatting sqref="C5">
    <cfRule type="expression" dxfId="31" priority="59">
      <formula>$D$4&lt;2023</formula>
    </cfRule>
    <cfRule type="expression" dxfId="30" priority="60">
      <formula>$D$3="Base sectorielle"</formula>
    </cfRule>
  </conditionalFormatting>
  <conditionalFormatting sqref="C9:C12">
    <cfRule type="expression" dxfId="29" priority="61">
      <formula>$D$3="Base sectorielle"</formula>
    </cfRule>
  </conditionalFormatting>
  <conditionalFormatting sqref="C21">
    <cfRule type="expression" dxfId="28" priority="124">
      <formula>OR($D$4&lt;2021,$K$5&lt;2020)</formula>
    </cfRule>
  </conditionalFormatting>
  <conditionalFormatting sqref="C29:C30">
    <cfRule type="expression" dxfId="27" priority="12">
      <formula>$D$4&lt;2021</formula>
    </cfRule>
  </conditionalFormatting>
  <conditionalFormatting sqref="C30">
    <cfRule type="expression" dxfId="26" priority="13">
      <formula>"somme($D$28:$K$28)&lt;=0"</formula>
    </cfRule>
  </conditionalFormatting>
  <conditionalFormatting sqref="C43">
    <cfRule type="expression" dxfId="25" priority="91">
      <formula>#REF!="oui"</formula>
    </cfRule>
  </conditionalFormatting>
  <conditionalFormatting sqref="D21 D29:K30">
    <cfRule type="expression" dxfId="24" priority="164">
      <formula>OR($D$3="Base sectorielle",AND($D$3="Base non sectorielle",E$16&lt;$K$5))</formula>
    </cfRule>
  </conditionalFormatting>
  <conditionalFormatting sqref="D5:E5">
    <cfRule type="expression" dxfId="23" priority="67">
      <formula>$D$3="Base sectorielle"</formula>
    </cfRule>
    <cfRule type="expression" dxfId="22" priority="72">
      <formula>$D$4&lt;2023</formula>
    </cfRule>
  </conditionalFormatting>
  <conditionalFormatting sqref="D7:E7">
    <cfRule type="expression" dxfId="21" priority="8">
      <formula>OR($D$13="21 et 22",$D$13="23 et 24")</formula>
    </cfRule>
  </conditionalFormatting>
  <conditionalFormatting sqref="D9:E11">
    <cfRule type="expression" dxfId="20" priority="68">
      <formula>$D$3="Base sectorielle"</formula>
    </cfRule>
  </conditionalFormatting>
  <conditionalFormatting sqref="D17:K17">
    <cfRule type="expression" dxfId="19" priority="150">
      <formula>D$16&lt;$D$4</formula>
    </cfRule>
  </conditionalFormatting>
  <conditionalFormatting sqref="D19:K21 D52">
    <cfRule type="expression" dxfId="18" priority="151">
      <formula>D$16&lt;$D$4</formula>
    </cfRule>
  </conditionalFormatting>
  <conditionalFormatting sqref="D21:K21">
    <cfRule type="expression" dxfId="17" priority="15">
      <formula>OR(D$29="",D$29="Non")</formula>
    </cfRule>
  </conditionalFormatting>
  <conditionalFormatting sqref="D29:K29">
    <cfRule type="expression" dxfId="16" priority="14">
      <formula>D$29=""</formula>
    </cfRule>
    <cfRule type="cellIs" dxfId="15" priority="19" operator="equal">
      <formula>"Oui"</formula>
    </cfRule>
  </conditionalFormatting>
  <conditionalFormatting sqref="D30:K30">
    <cfRule type="expression" dxfId="14" priority="26">
      <formula>OR(D$29="Non",D$29="")</formula>
    </cfRule>
  </conditionalFormatting>
  <conditionalFormatting sqref="D17:M21 D23:M25 D27:M27 L29:M30 D32:M34 D36:M39 D41:M41 D43:M45 D47:M47 D49:M50 D52:M56">
    <cfRule type="expression" dxfId="13" priority="139" stopIfTrue="1">
      <formula>D$16&lt;$D$4</formula>
    </cfRule>
  </conditionalFormatting>
  <conditionalFormatting sqref="E17:K21">
    <cfRule type="expression" dxfId="12" priority="153">
      <formula>E$16&lt;$D$4</formula>
    </cfRule>
  </conditionalFormatting>
  <conditionalFormatting sqref="E20:K21 E52:M52">
    <cfRule type="expression" dxfId="11" priority="154">
      <formula>E$16&lt;$D$4</formula>
    </cfRule>
  </conditionalFormatting>
  <conditionalFormatting sqref="E21:K21 D29:E29 E29:K30">
    <cfRule type="expression" dxfId="10" priority="166">
      <formula>OR($D$3="Base sectorielle",AND($D$3="Base non sectorielle",$D$4&lt;2021),AND($D$3="Base non sectorielle",D$16&lt;$K$5))</formula>
    </cfRule>
  </conditionalFormatting>
  <conditionalFormatting sqref="E32:K32 E43:K43">
    <cfRule type="expression" dxfId="9" priority="156">
      <formula>OR(AND($D$3="Base non sectorielle",$D$5="Oui",E$16&lt;($D$4+5)),AND($D$4 &gt; 2023,$D$5="Non",E$16&lt;($D$4+1)))</formula>
    </cfRule>
  </conditionalFormatting>
  <conditionalFormatting sqref="E34:K34 E37:K39 E41:K41">
    <cfRule type="expression" dxfId="8" priority="158">
      <formula>OR(AND($D$3="Base non sectorielle",$D$5="Oui",E$16&lt;($D$4+2)),AND($D$4 &gt; 2023,$D$5="Non",E$16&lt;($D$4+1)))</formula>
    </cfRule>
  </conditionalFormatting>
  <conditionalFormatting sqref="F9:F10">
    <cfRule type="expression" dxfId="7" priority="52">
      <formula>$D$3="Base sectorielle"</formula>
    </cfRule>
  </conditionalFormatting>
  <conditionalFormatting sqref="H34:K34 H38:K39 H41:K41">
    <cfRule type="expression" dxfId="6" priority="161">
      <formula>AND($D$3="Base non sectorielle",$D$5="Oui",G$16&lt;($D$4+2))</formula>
    </cfRule>
  </conditionalFormatting>
  <conditionalFormatting sqref="J3">
    <cfRule type="expression" dxfId="5" priority="71">
      <formula>OR($D$3="",$D$3="Base non sectorielle")</formula>
    </cfRule>
  </conditionalFormatting>
  <conditionalFormatting sqref="J5:L5">
    <cfRule type="expression" dxfId="4" priority="4">
      <formula>$D$4&lt;2021</formula>
    </cfRule>
  </conditionalFormatting>
  <conditionalFormatting sqref="J5:L6">
    <cfRule type="expression" dxfId="3" priority="2">
      <formula>$D$4&lt;2021</formula>
    </cfRule>
    <cfRule type="expression" dxfId="2" priority="3">
      <formula>$D$3="Base sectorielle"</formula>
    </cfRule>
  </conditionalFormatting>
  <conditionalFormatting sqref="J6:L6">
    <cfRule type="expression" dxfId="1" priority="1">
      <formula>#REF!="Non"</formula>
    </cfRule>
  </conditionalFormatting>
  <conditionalFormatting sqref="K3:L3">
    <cfRule type="expression" dxfId="0" priority="7">
      <formula>OR($D$3="",$D$3="Base non sectorielle")</formula>
    </cfRule>
  </conditionalFormatting>
  <dataValidations count="5">
    <dataValidation type="list" allowBlank="1" showInputMessage="1" showErrorMessage="1" sqref="D5 K6" xr:uid="{E7BE4193-FDC0-4D8D-87B4-4550977D15AC}">
      <formula1>"Oui,Non"</formula1>
    </dataValidation>
    <dataValidation type="list" allowBlank="1" showInputMessage="1" showErrorMessage="1" sqref="D3" xr:uid="{2F3AA574-47D4-4620-B4C3-B299271E082C}">
      <formula1>"Base sectorielle,Base non sectorielle"</formula1>
    </dataValidation>
    <dataValidation type="list" allowBlank="1" showInputMessage="1" showErrorMessage="1" sqref="D9" xr:uid="{0D5ADD83-23FF-4386-8CB9-5730B7BEE603}">
      <formula1>"Niveau 7,Niveau 6,Niveau 5,Niveau 4,Niveau 3,Niveau 2,Niveau 1"</formula1>
    </dataValidation>
    <dataValidation type="decimal" allowBlank="1" showInputMessage="1" showErrorMessage="1" sqref="D10:E10" xr:uid="{2A89C042-B95A-4324-8587-D28FFFE0C108}">
      <formula1>0.6</formula1>
      <formula2>1</formula2>
    </dataValidation>
    <dataValidation type="whole" allowBlank="1" showInputMessage="1" showErrorMessage="1" error="L'année de mise en exploitation doit être antérieure ou égale à l'année de début d'assujettissement." sqref="K5" xr:uid="{4ABBC21F-C005-4452-88A2-5C9371184A6F}">
      <formula1>2013</formula1>
      <formula2>D4</formula2>
    </dataValidation>
  </dataValidations>
  <pageMargins left="0.35" right="0.38" top="0.3" bottom="0.28999999999999998" header="0.21" footer="0.21"/>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FE72EB-AA65-4CBF-BA0D-CF911EEE3F21}">
          <x14:formula1>
            <xm:f>'Données sectorielles'!$A$2:$A$6</xm:f>
          </x14:formula1>
          <xm:sqref>K3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276c43-f720-4a88-a454-98e6c4a9707c" xsi:nil="true"/>
    <lcf76f155ced4ddcb4097134ff3c332f xmlns="3730c36a-c603-4176-93aa-d51ef3929125">
      <Terms xmlns="http://schemas.microsoft.com/office/infopath/2007/PartnerControls"/>
    </lcf76f155ced4ddcb4097134ff3c332f>
    <Approuv_x00e9_Gestionnaire xmlns="3730c36a-c603-4176-93aa-d51ef3929125">false</Approuv_x00e9_Gestionnaire>
    <Approuv_x00e9_SM xmlns="3730c36a-c603-4176-93aa-d51ef3929125">false</Approuv_x00e9_SM>
    <Expiration xmlns="3730c36a-c603-4176-93aa-d51ef3929125" xsi:nil="true"/>
    <Approuv_x00e9_JYB xmlns="3730c36a-c603-4176-93aa-d51ef3929125">false</Approuv_x00e9_JYB>
    <Approuv_x00e9_DRH xmlns="3730c36a-c603-4176-93aa-d51ef3929125" xsi:nil="true"/>
    <TransmisBSMA xmlns="3730c36a-c603-4176-93aa-d51ef3929125">false</TransmisBSMA>
    <Valid_x00e9_BSMA xmlns="3730c36a-c603-4176-93aa-d51ef3929125" xsi:nil="true"/>
    <_x00c0_valider xmlns="3730c36a-c603-4176-93aa-d51ef3929125">false</_x00c0_valid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32" ma:contentTypeDescription="Crée un document." ma:contentTypeScope="" ma:versionID="6ae11bc908e682a1a9ae4ae676fd9091">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cbffd4917078f575b1e97752cfb32039"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Expiration" minOccurs="0"/>
                <xsd:element ref="ns2:MediaServiceLocation" minOccurs="0"/>
                <xsd:element ref="ns2:lcf76f155ced4ddcb4097134ff3c332f" minOccurs="0"/>
                <xsd:element ref="ns3:TaxCatchAll" minOccurs="0"/>
                <xsd:element ref="ns2:_x00c0_valider" minOccurs="0"/>
                <xsd:element ref="ns2:MediaServiceObjectDetectorVersions" minOccurs="0"/>
                <xsd:element ref="ns2:Approuv_x00e9_JYB" minOccurs="0"/>
                <xsd:element ref="ns2:TransmisBSMA" minOccurs="0"/>
                <xsd:element ref="ns2:Valid_x00e9_BSMA" minOccurs="0"/>
                <xsd:element ref="ns2:Approuv_x00e9_SM" minOccurs="0"/>
                <xsd:element ref="ns2:Approuv_x00e9_Gestionnaire" minOccurs="0"/>
                <xsd:element ref="ns2:Approuv_x00e9_DR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Expiration" ma:index="19" nillable="true" ma:displayName="Expiration" ma:format="DateTime" ma:internalName="Expiration">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_x00c0_valider" ma:index="24" nillable="true" ma:displayName="À valider" ma:default="0" ma:format="Dropdown" ma:internalName="_x00c0_vali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pprouv_x00e9_JYB" ma:index="26" nillable="true" ma:displayName="Approuvé Directeur/DG" ma:default="0" ma:format="Dropdown" ma:internalName="Approuv_x00e9_JYB">
      <xsd:simpleType>
        <xsd:restriction base="dms:Boolean"/>
      </xsd:simpleType>
    </xsd:element>
    <xsd:element name="TransmisBSMA" ma:index="27" nillable="true" ma:displayName="Transmis BSMA" ma:default="0" ma:format="Dropdown" ma:internalName="TransmisBSMA">
      <xsd:simpleType>
        <xsd:restriction base="dms:Boolean"/>
      </xsd:simpleType>
    </xsd:element>
    <xsd:element name="Valid_x00e9_BSMA" ma:index="28" nillable="true" ma:displayName="Approuvé BSMA" ma:format="Dropdown" ma:internalName="Valid_x00e9_BSMA">
      <xsd:simpleType>
        <xsd:restriction base="dms:Choice">
          <xsd:enumeration value="Oui"/>
          <xsd:enumeration value="Non"/>
          <xsd:enumeration value="en attente"/>
        </xsd:restriction>
      </xsd:simpleType>
    </xsd:element>
    <xsd:element name="Approuv_x00e9_SM" ma:index="29" nillable="true" ma:displayName="Approuvé SM" ma:default="0" ma:format="Dropdown" ma:internalName="Approuv_x00e9_SM">
      <xsd:simpleType>
        <xsd:restriction base="dms:Boolean"/>
      </xsd:simpleType>
    </xsd:element>
    <xsd:element name="Approuv_x00e9_Gestionnaire" ma:index="30" nillable="true" ma:displayName="Approuvé Gestionnaire" ma:default="0" ma:format="Dropdown" ma:internalName="Approuv_x00e9_Gestionnaire">
      <xsd:simpleType>
        <xsd:restriction base="dms:Boolean"/>
      </xsd:simpleType>
    </xsd:element>
    <xsd:element name="Approuv_x00e9_DRH" ma:index="31" nillable="true" ma:displayName="Approuvé DRH" ma:format="Dropdown" ma:internalName="Approuv_x00e9_DRH">
      <xsd:simpleType>
        <xsd:restriction base="dms:Choice">
          <xsd:enumeration value="Oui"/>
          <xsd:enumeration value="Non"/>
        </xsd:restriction>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e1449c4b-b320-4fff-9f27-29c6d4ea0772}"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28399-B06A-40B9-A5BC-8BC8DA37CF1B}">
  <ds:schemaRefs>
    <ds:schemaRef ds:uri="http://purl.org/dc/elements/1.1/"/>
    <ds:schemaRef ds:uri="http://schemas.openxmlformats.org/package/2006/metadata/core-properties"/>
    <ds:schemaRef ds:uri="http://purl.org/dc/dcmitype/"/>
    <ds:schemaRef ds:uri="3730c36a-c603-4176-93aa-d51ef3929125"/>
    <ds:schemaRef ds:uri="http://schemas.microsoft.com/office/infopath/2007/PartnerControls"/>
    <ds:schemaRef ds:uri="http://purl.org/dc/terms/"/>
    <ds:schemaRef ds:uri="http://schemas.microsoft.com/office/2006/documentManagement/types"/>
    <ds:schemaRef ds:uri="43276c43-f720-4a88-a454-98e6c4a9707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9BEEB4-62F4-413C-9341-B28107B95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70B5-EB44-41A9-AFF8-1283DC5C6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Informations</vt:lpstr>
      <vt:lpstr>Équations</vt:lpstr>
      <vt:lpstr>Données sectorielles</vt:lpstr>
      <vt:lpstr>Calculs</vt:lpstr>
      <vt:lpstr>Calculs!Zone_d_impression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de calcul de l’allocation gratuite 2024-2030</dc:title>
  <dc:subject>Outil Excel permettant d'estimer l'allocation gratuite ainsi que le nombre de droits d’émission mis en consigne pour une unité étalon donnée d'un établissement, selon les règles d'allocation gratuite pour la période 2024-2030 prévues dans le Règlement concernant le système de plafonnement et d'échange de droits d'émission de gaz à effet de serre.</dc:subject>
  <dc:creator>Ministère de l’Environnement, de la Lutte contre les changements climatiques, de la Faune et des Parcs;MELCCFP</dc:creator>
  <cp:keywords>Outil, allocation gratuite, 2024-2030, unité étalon, mise en consigne, marché du carbone, système de plafonnement et d’échange de droits d’émission de gaz à effet de serre, SPEDE.</cp:keywords>
  <dc:description/>
  <cp:lastModifiedBy>Trudel, Anne</cp:lastModifiedBy>
  <cp:revision/>
  <dcterms:created xsi:type="dcterms:W3CDTF">2021-03-05T14:14:33Z</dcterms:created>
  <dcterms:modified xsi:type="dcterms:W3CDTF">2024-02-14T18:13:19Z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ies>
</file>